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15" windowWidth="12120" windowHeight="7155"/>
  </bookViews>
  <sheets>
    <sheet name="Karakterlap" sheetId="1" r:id="rId1"/>
    <sheet name="Adattábla" sheetId="2" state="hidden" r:id="rId2"/>
  </sheets>
  <definedNames>
    <definedName name="eldontendo">Adattábla!$E$2:$E$3</definedName>
  </definedNames>
  <calcPr calcId="145621"/>
</workbook>
</file>

<file path=xl/calcChain.xml><?xml version="1.0" encoding="utf-8"?>
<calcChain xmlns="http://schemas.openxmlformats.org/spreadsheetml/2006/main">
  <c r="AH7" i="1" l="1"/>
  <c r="BE52" i="2"/>
  <c r="BI51" i="2"/>
  <c r="BD50" i="2"/>
  <c r="BK52" i="2"/>
  <c r="BJ52" i="2"/>
  <c r="BI52" i="2"/>
  <c r="BH52" i="2"/>
  <c r="BG52" i="2"/>
  <c r="BF52" i="2"/>
  <c r="BD52" i="2"/>
  <c r="BC52" i="2"/>
  <c r="BB52" i="2"/>
  <c r="BA52" i="2"/>
  <c r="AR52" i="2"/>
  <c r="AM52" i="2"/>
  <c r="AL52" i="2"/>
  <c r="AH52" i="2"/>
  <c r="AE52" i="2"/>
  <c r="AD52" i="2"/>
  <c r="Y52" i="2"/>
  <c r="BK51" i="2"/>
  <c r="BJ51" i="2"/>
  <c r="BH51" i="2"/>
  <c r="BG51" i="2"/>
  <c r="BF51" i="2"/>
  <c r="BE51" i="2"/>
  <c r="BD51" i="2"/>
  <c r="BC51" i="2"/>
  <c r="BB51" i="2"/>
  <c r="BA51" i="2"/>
  <c r="AR51" i="2"/>
  <c r="AM51" i="2"/>
  <c r="AL51" i="2"/>
  <c r="AH51" i="2"/>
  <c r="AE51" i="2"/>
  <c r="AD51" i="2"/>
  <c r="Y51" i="2"/>
  <c r="BK101" i="2"/>
  <c r="BJ101" i="2"/>
  <c r="BI101" i="2"/>
  <c r="BH101" i="2"/>
  <c r="BG101" i="2"/>
  <c r="BF101" i="2"/>
  <c r="BE101" i="2"/>
  <c r="BD101" i="2"/>
  <c r="BC101" i="2"/>
  <c r="BB101" i="2"/>
  <c r="BK100" i="2"/>
  <c r="BJ100" i="2"/>
  <c r="BI100" i="2"/>
  <c r="BH100" i="2"/>
  <c r="BG100" i="2"/>
  <c r="BF100" i="2"/>
  <c r="BE100" i="2"/>
  <c r="BD100" i="2"/>
  <c r="BC100" i="2"/>
  <c r="BB100" i="2"/>
  <c r="BK99" i="2"/>
  <c r="BJ99" i="2"/>
  <c r="BI99" i="2"/>
  <c r="BH99" i="2"/>
  <c r="BG99" i="2"/>
  <c r="BF99" i="2"/>
  <c r="BE99" i="2"/>
  <c r="BD99" i="2"/>
  <c r="BC99" i="2"/>
  <c r="BB99" i="2"/>
  <c r="BK98" i="2"/>
  <c r="BJ98" i="2"/>
  <c r="BI98" i="2"/>
  <c r="BH98" i="2"/>
  <c r="BG98" i="2"/>
  <c r="BF98" i="2"/>
  <c r="BE98" i="2"/>
  <c r="BD98" i="2"/>
  <c r="BC98" i="2"/>
  <c r="BB98" i="2"/>
  <c r="BK97" i="2"/>
  <c r="BJ97" i="2"/>
  <c r="BI97" i="2"/>
  <c r="BH97" i="2"/>
  <c r="BG97" i="2"/>
  <c r="BF97" i="2"/>
  <c r="BE97" i="2"/>
  <c r="BD97" i="2"/>
  <c r="BC97" i="2"/>
  <c r="BB97" i="2"/>
  <c r="BB95" i="2"/>
  <c r="BC95" i="2"/>
  <c r="BD95" i="2"/>
  <c r="BE95" i="2"/>
  <c r="BF95" i="2"/>
  <c r="BG95" i="2"/>
  <c r="BH95" i="2"/>
  <c r="BI95" i="2"/>
  <c r="BJ95" i="2"/>
  <c r="BK95" i="2"/>
  <c r="BB96" i="2"/>
  <c r="BC96" i="2"/>
  <c r="BD96" i="2"/>
  <c r="BE96" i="2"/>
  <c r="BF96" i="2"/>
  <c r="BG96" i="2"/>
  <c r="BH96" i="2"/>
  <c r="BI96" i="2"/>
  <c r="BJ96" i="2"/>
  <c r="BK96" i="2"/>
  <c r="BK94" i="2"/>
  <c r="BJ94" i="2"/>
  <c r="BI94" i="2"/>
  <c r="BH94" i="2"/>
  <c r="BG94" i="2"/>
  <c r="BF94" i="2"/>
  <c r="BE94" i="2"/>
  <c r="BD94" i="2"/>
  <c r="BC94" i="2"/>
  <c r="BB94" i="2"/>
  <c r="BK93" i="2"/>
  <c r="BJ93" i="2"/>
  <c r="BI93" i="2"/>
  <c r="BH93" i="2"/>
  <c r="BG93" i="2"/>
  <c r="BF93" i="2"/>
  <c r="BE93" i="2"/>
  <c r="BD93" i="2"/>
  <c r="BC93" i="2"/>
  <c r="BB93" i="2"/>
  <c r="BK92" i="2"/>
  <c r="BJ92" i="2"/>
  <c r="BI92" i="2"/>
  <c r="BH92" i="2"/>
  <c r="BG92" i="2"/>
  <c r="BF92" i="2"/>
  <c r="BE92" i="2"/>
  <c r="BD92" i="2"/>
  <c r="BC92" i="2"/>
  <c r="BB92" i="2"/>
  <c r="BK91" i="2"/>
  <c r="BJ91" i="2"/>
  <c r="BI91" i="2"/>
  <c r="BH91" i="2"/>
  <c r="BG91" i="2"/>
  <c r="BF91" i="2"/>
  <c r="BE91" i="2"/>
  <c r="BD91" i="2"/>
  <c r="BC91" i="2"/>
  <c r="BB91" i="2"/>
  <c r="BK90" i="2"/>
  <c r="BJ90" i="2"/>
  <c r="BI90" i="2"/>
  <c r="BH90" i="2"/>
  <c r="BG90" i="2"/>
  <c r="BF90" i="2"/>
  <c r="BE90" i="2"/>
  <c r="BD90" i="2"/>
  <c r="BC90" i="2"/>
  <c r="BB90" i="2"/>
  <c r="BB80" i="2"/>
  <c r="BC80" i="2"/>
  <c r="BD80" i="2"/>
  <c r="BE80" i="2"/>
  <c r="BF80" i="2"/>
  <c r="BG80" i="2"/>
  <c r="BH80" i="2"/>
  <c r="BI80" i="2"/>
  <c r="BJ80" i="2"/>
  <c r="BK80" i="2"/>
  <c r="BB81" i="2"/>
  <c r="BC81" i="2"/>
  <c r="BD81" i="2"/>
  <c r="BE81" i="2"/>
  <c r="BF81" i="2"/>
  <c r="BG81" i="2"/>
  <c r="BH81" i="2"/>
  <c r="BI81" i="2"/>
  <c r="BJ81" i="2"/>
  <c r="BK81" i="2"/>
  <c r="BB82" i="2"/>
  <c r="BC82" i="2"/>
  <c r="BD82" i="2"/>
  <c r="BE82" i="2"/>
  <c r="BF82" i="2"/>
  <c r="BG82" i="2"/>
  <c r="BH82" i="2"/>
  <c r="BI82" i="2"/>
  <c r="BJ82" i="2"/>
  <c r="BK82" i="2"/>
  <c r="BB83" i="2"/>
  <c r="BC83" i="2"/>
  <c r="BD83" i="2"/>
  <c r="BE83" i="2"/>
  <c r="BF83" i="2"/>
  <c r="BG83" i="2"/>
  <c r="BH83" i="2"/>
  <c r="BI83" i="2"/>
  <c r="BJ83" i="2"/>
  <c r="BK83" i="2"/>
  <c r="BB84" i="2"/>
  <c r="BC84" i="2"/>
  <c r="BD84" i="2"/>
  <c r="BE84" i="2"/>
  <c r="BF84" i="2"/>
  <c r="BG84" i="2"/>
  <c r="BH84" i="2"/>
  <c r="BI84" i="2"/>
  <c r="BJ84" i="2"/>
  <c r="BK84" i="2"/>
  <c r="BB85" i="2"/>
  <c r="BC85" i="2"/>
  <c r="BD85" i="2"/>
  <c r="BE85" i="2"/>
  <c r="BF85" i="2"/>
  <c r="BG85" i="2"/>
  <c r="BH85" i="2"/>
  <c r="BI85" i="2"/>
  <c r="BJ85" i="2"/>
  <c r="BK85" i="2"/>
  <c r="BB86" i="2"/>
  <c r="BC86" i="2"/>
  <c r="BD86" i="2"/>
  <c r="BE86" i="2"/>
  <c r="BF86" i="2"/>
  <c r="BG86" i="2"/>
  <c r="BH86" i="2"/>
  <c r="BI86" i="2"/>
  <c r="BJ86" i="2"/>
  <c r="BK86" i="2"/>
  <c r="BB87" i="2"/>
  <c r="BC87" i="2"/>
  <c r="BD87" i="2"/>
  <c r="BE87" i="2"/>
  <c r="BF87" i="2"/>
  <c r="BG87" i="2"/>
  <c r="BH87" i="2"/>
  <c r="BI87" i="2"/>
  <c r="BJ87" i="2"/>
  <c r="BK87" i="2"/>
  <c r="BB88" i="2"/>
  <c r="BC88" i="2"/>
  <c r="BD88" i="2"/>
  <c r="BE88" i="2"/>
  <c r="BF88" i="2"/>
  <c r="BG88" i="2"/>
  <c r="BH88" i="2"/>
  <c r="BI88" i="2"/>
  <c r="BJ88" i="2"/>
  <c r="BK88" i="2"/>
  <c r="BB89" i="2"/>
  <c r="BC89" i="2"/>
  <c r="BD89" i="2"/>
  <c r="BE89" i="2"/>
  <c r="BF89" i="2"/>
  <c r="BG89" i="2"/>
  <c r="BH89" i="2"/>
  <c r="BI89" i="2"/>
  <c r="BJ89" i="2"/>
  <c r="BK89" i="2"/>
  <c r="BK79" i="2"/>
  <c r="BJ79" i="2"/>
  <c r="BI79" i="2"/>
  <c r="BH79" i="2"/>
  <c r="BG79" i="2"/>
  <c r="BF79" i="2"/>
  <c r="BE79" i="2"/>
  <c r="BD79" i="2"/>
  <c r="BC79" i="2"/>
  <c r="BB79" i="2"/>
  <c r="BB75" i="2"/>
  <c r="BC75" i="2"/>
  <c r="BD75" i="2"/>
  <c r="BE75" i="2"/>
  <c r="BF75" i="2"/>
  <c r="BG75" i="2"/>
  <c r="BH75" i="2"/>
  <c r="BI75" i="2"/>
  <c r="BJ75" i="2"/>
  <c r="BK75" i="2"/>
  <c r="BB76" i="2"/>
  <c r="BC76" i="2"/>
  <c r="BD76" i="2"/>
  <c r="BE76" i="2"/>
  <c r="BF76" i="2"/>
  <c r="BG76" i="2"/>
  <c r="BH76" i="2"/>
  <c r="BI76" i="2"/>
  <c r="BJ76" i="2"/>
  <c r="BK76" i="2"/>
  <c r="BB77" i="2"/>
  <c r="BC77" i="2"/>
  <c r="BD77" i="2"/>
  <c r="BE77" i="2"/>
  <c r="BF77" i="2"/>
  <c r="BG77" i="2"/>
  <c r="BH77" i="2"/>
  <c r="BI77" i="2"/>
  <c r="BJ77" i="2"/>
  <c r="BK77" i="2"/>
  <c r="BB78" i="2"/>
  <c r="BC78" i="2"/>
  <c r="BD78" i="2"/>
  <c r="BE78" i="2"/>
  <c r="BF78" i="2"/>
  <c r="BG78" i="2"/>
  <c r="BH78" i="2"/>
  <c r="BI78" i="2"/>
  <c r="BJ78" i="2"/>
  <c r="BK78" i="2"/>
  <c r="BK74" i="2"/>
  <c r="BJ74" i="2"/>
  <c r="BI74" i="2"/>
  <c r="BH74" i="2"/>
  <c r="BG74" i="2"/>
  <c r="BF74" i="2"/>
  <c r="BE74" i="2"/>
  <c r="BD74" i="2"/>
  <c r="BC74" i="2"/>
  <c r="BB74" i="2"/>
  <c r="BB72" i="2"/>
  <c r="BC72" i="2"/>
  <c r="BD72" i="2"/>
  <c r="BE72" i="2"/>
  <c r="BF72" i="2"/>
  <c r="BG72" i="2"/>
  <c r="BH72" i="2"/>
  <c r="BI72" i="2"/>
  <c r="BJ72" i="2"/>
  <c r="BK72" i="2"/>
  <c r="BB73" i="2"/>
  <c r="BC73" i="2"/>
  <c r="BD73" i="2"/>
  <c r="BE73" i="2"/>
  <c r="BF73" i="2"/>
  <c r="BG73" i="2"/>
  <c r="BH73" i="2"/>
  <c r="BI73" i="2"/>
  <c r="BJ73" i="2"/>
  <c r="BK73" i="2"/>
  <c r="BK71" i="2"/>
  <c r="BJ71" i="2"/>
  <c r="BI71" i="2"/>
  <c r="BH71" i="2"/>
  <c r="BG71" i="2"/>
  <c r="BF71" i="2"/>
  <c r="BE71" i="2"/>
  <c r="BD71" i="2"/>
  <c r="BC71" i="2"/>
  <c r="BB71" i="2"/>
  <c r="BB47" i="2"/>
  <c r="BC47" i="2"/>
  <c r="BD47" i="2"/>
  <c r="BE47" i="2"/>
  <c r="BF47" i="2"/>
  <c r="BG47" i="2"/>
  <c r="BH47" i="2"/>
  <c r="BI47" i="2"/>
  <c r="BJ47" i="2"/>
  <c r="BK47" i="2"/>
  <c r="BB48" i="2"/>
  <c r="BC48" i="2"/>
  <c r="BD48" i="2"/>
  <c r="BE48" i="2"/>
  <c r="BF48" i="2"/>
  <c r="BG48" i="2"/>
  <c r="BH48" i="2"/>
  <c r="BI48" i="2"/>
  <c r="BJ48" i="2"/>
  <c r="BK48" i="2"/>
  <c r="BB49" i="2"/>
  <c r="BC49" i="2"/>
  <c r="BD49" i="2"/>
  <c r="BE49" i="2"/>
  <c r="BF49" i="2"/>
  <c r="BG49" i="2"/>
  <c r="BH49" i="2"/>
  <c r="BI49" i="2"/>
  <c r="BJ49" i="2"/>
  <c r="BK49" i="2"/>
  <c r="BB50" i="2"/>
  <c r="BC50" i="2"/>
  <c r="BE50" i="2"/>
  <c r="BF50" i="2"/>
  <c r="BG50" i="2"/>
  <c r="BH50" i="2"/>
  <c r="BI50" i="2"/>
  <c r="BJ50" i="2"/>
  <c r="BK50" i="2"/>
  <c r="BB53" i="2"/>
  <c r="BC53" i="2"/>
  <c r="BD53" i="2"/>
  <c r="BE53" i="2"/>
  <c r="BF53" i="2"/>
  <c r="BG53" i="2"/>
  <c r="BH53" i="2"/>
  <c r="BI53" i="2"/>
  <c r="BJ53" i="2"/>
  <c r="BK53" i="2"/>
  <c r="BB54" i="2"/>
  <c r="BC54" i="2"/>
  <c r="BD54" i="2"/>
  <c r="BE54" i="2"/>
  <c r="BF54" i="2"/>
  <c r="BG54" i="2"/>
  <c r="BH54" i="2"/>
  <c r="BI54" i="2"/>
  <c r="BJ54" i="2"/>
  <c r="BK54" i="2"/>
  <c r="BB55" i="2"/>
  <c r="BC55" i="2"/>
  <c r="BD55" i="2"/>
  <c r="BE55" i="2"/>
  <c r="BF55" i="2"/>
  <c r="BG55" i="2"/>
  <c r="BH55" i="2"/>
  <c r="BI55" i="2"/>
  <c r="BJ55" i="2"/>
  <c r="BK55" i="2"/>
  <c r="BB56" i="2"/>
  <c r="BC56" i="2"/>
  <c r="BD56" i="2"/>
  <c r="BE56" i="2"/>
  <c r="BF56" i="2"/>
  <c r="BG56" i="2"/>
  <c r="BH56" i="2"/>
  <c r="BI56" i="2"/>
  <c r="BJ56" i="2"/>
  <c r="BK56" i="2"/>
  <c r="BB57" i="2"/>
  <c r="BC57" i="2"/>
  <c r="BD57" i="2"/>
  <c r="BE57" i="2"/>
  <c r="BF57" i="2"/>
  <c r="BG57" i="2"/>
  <c r="BH57" i="2"/>
  <c r="BI57" i="2"/>
  <c r="BJ57" i="2"/>
  <c r="BK57" i="2"/>
  <c r="BB58" i="2"/>
  <c r="BC58" i="2"/>
  <c r="BD58" i="2"/>
  <c r="BE58" i="2"/>
  <c r="BF58" i="2"/>
  <c r="BG58" i="2"/>
  <c r="BH58" i="2"/>
  <c r="BI58" i="2"/>
  <c r="BJ58" i="2"/>
  <c r="BK58" i="2"/>
  <c r="BB59" i="2"/>
  <c r="BC59" i="2"/>
  <c r="BD59" i="2"/>
  <c r="BE59" i="2"/>
  <c r="BF59" i="2"/>
  <c r="BG59" i="2"/>
  <c r="BH59" i="2"/>
  <c r="BI59" i="2"/>
  <c r="BJ59" i="2"/>
  <c r="BK59" i="2"/>
  <c r="BB60" i="2"/>
  <c r="BC60" i="2"/>
  <c r="BD60" i="2"/>
  <c r="BE60" i="2"/>
  <c r="BF60" i="2"/>
  <c r="BG60" i="2"/>
  <c r="BH60" i="2"/>
  <c r="BI60" i="2"/>
  <c r="BJ60" i="2"/>
  <c r="BK60" i="2"/>
  <c r="BB61" i="2"/>
  <c r="BC61" i="2"/>
  <c r="BD61" i="2"/>
  <c r="BE61" i="2"/>
  <c r="BF61" i="2"/>
  <c r="BG61" i="2"/>
  <c r="BH61" i="2"/>
  <c r="BI61" i="2"/>
  <c r="BJ61" i="2"/>
  <c r="BK61" i="2"/>
  <c r="BB62" i="2"/>
  <c r="BC62" i="2"/>
  <c r="BD62" i="2"/>
  <c r="BE62" i="2"/>
  <c r="BF62" i="2"/>
  <c r="BG62" i="2"/>
  <c r="BH62" i="2"/>
  <c r="BI62" i="2"/>
  <c r="BJ62" i="2"/>
  <c r="BK62" i="2"/>
  <c r="BB63" i="2"/>
  <c r="BC63" i="2"/>
  <c r="BD63" i="2"/>
  <c r="BE63" i="2"/>
  <c r="BF63" i="2"/>
  <c r="BG63" i="2"/>
  <c r="BH63" i="2"/>
  <c r="BI63" i="2"/>
  <c r="BJ63" i="2"/>
  <c r="BK63" i="2"/>
  <c r="BB64" i="2"/>
  <c r="BC64" i="2"/>
  <c r="BD64" i="2"/>
  <c r="BE64" i="2"/>
  <c r="BF64" i="2"/>
  <c r="BG64" i="2"/>
  <c r="BH64" i="2"/>
  <c r="BI64" i="2"/>
  <c r="BJ64" i="2"/>
  <c r="BK64" i="2"/>
  <c r="BB65" i="2"/>
  <c r="BC65" i="2"/>
  <c r="BD65" i="2"/>
  <c r="BE65" i="2"/>
  <c r="BF65" i="2"/>
  <c r="BG65" i="2"/>
  <c r="BH65" i="2"/>
  <c r="BI65" i="2"/>
  <c r="BJ65" i="2"/>
  <c r="BK65" i="2"/>
  <c r="BB66" i="2"/>
  <c r="BC66" i="2"/>
  <c r="BD66" i="2"/>
  <c r="BE66" i="2"/>
  <c r="BF66" i="2"/>
  <c r="BG66" i="2"/>
  <c r="BH66" i="2"/>
  <c r="BI66" i="2"/>
  <c r="BJ66" i="2"/>
  <c r="BK66" i="2"/>
  <c r="BB67" i="2"/>
  <c r="BC67" i="2"/>
  <c r="BD67" i="2"/>
  <c r="BE67" i="2"/>
  <c r="BF67" i="2"/>
  <c r="BG67" i="2"/>
  <c r="BH67" i="2"/>
  <c r="BI67" i="2"/>
  <c r="BJ67" i="2"/>
  <c r="BK67" i="2"/>
  <c r="BB68" i="2"/>
  <c r="BC68" i="2"/>
  <c r="BD68" i="2"/>
  <c r="BE68" i="2"/>
  <c r="BF68" i="2"/>
  <c r="BG68" i="2"/>
  <c r="BH68" i="2"/>
  <c r="BI68" i="2"/>
  <c r="BJ68" i="2"/>
  <c r="BK68" i="2"/>
  <c r="BB69" i="2"/>
  <c r="BC69" i="2"/>
  <c r="BD69" i="2"/>
  <c r="BE69" i="2"/>
  <c r="BF69" i="2"/>
  <c r="BG69" i="2"/>
  <c r="BH69" i="2"/>
  <c r="BI69" i="2"/>
  <c r="BJ69" i="2"/>
  <c r="BK69" i="2"/>
  <c r="BB70" i="2"/>
  <c r="BC70" i="2"/>
  <c r="BD70" i="2"/>
  <c r="BE70" i="2"/>
  <c r="BF70" i="2"/>
  <c r="BG70" i="2"/>
  <c r="BH70" i="2"/>
  <c r="BI70" i="2"/>
  <c r="BJ70" i="2"/>
  <c r="BK70" i="2"/>
  <c r="BK46" i="2"/>
  <c r="BJ46" i="2"/>
  <c r="BI46" i="2"/>
  <c r="BH46" i="2"/>
  <c r="BG46" i="2"/>
  <c r="BF46" i="2"/>
  <c r="BE46" i="2"/>
  <c r="BD46" i="2"/>
  <c r="BC46" i="2"/>
  <c r="BB46" i="2"/>
  <c r="BK45" i="2"/>
  <c r="BJ45" i="2"/>
  <c r="BI45" i="2"/>
  <c r="BH45" i="2"/>
  <c r="BG45" i="2"/>
  <c r="BF45" i="2"/>
  <c r="BE45" i="2"/>
  <c r="BD45" i="2"/>
  <c r="BC45" i="2"/>
  <c r="BB45" i="2"/>
  <c r="BK44" i="2"/>
  <c r="BJ44" i="2"/>
  <c r="BI44" i="2"/>
  <c r="BH44" i="2"/>
  <c r="BG44" i="2"/>
  <c r="BF44" i="2"/>
  <c r="BE44" i="2"/>
  <c r="BD44" i="2"/>
  <c r="BC44" i="2"/>
  <c r="BB44" i="2"/>
  <c r="BK43" i="2"/>
  <c r="BJ43" i="2"/>
  <c r="BI43" i="2"/>
  <c r="BH43" i="2"/>
  <c r="BG43" i="2"/>
  <c r="BF43" i="2"/>
  <c r="BE43" i="2"/>
  <c r="BD43" i="2"/>
  <c r="BC43" i="2"/>
  <c r="BB43" i="2"/>
  <c r="BK42" i="2"/>
  <c r="BJ42" i="2"/>
  <c r="BI42" i="2"/>
  <c r="BH42" i="2"/>
  <c r="BG42" i="2"/>
  <c r="BF42" i="2"/>
  <c r="BE42" i="2"/>
  <c r="BD42" i="2"/>
  <c r="BC42" i="2"/>
  <c r="BB42" i="2"/>
  <c r="BK41" i="2"/>
  <c r="BJ41" i="2"/>
  <c r="BI41" i="2"/>
  <c r="BH41" i="2"/>
  <c r="BG41" i="2"/>
  <c r="BF41" i="2"/>
  <c r="BE41" i="2"/>
  <c r="BD41" i="2"/>
  <c r="BC41" i="2"/>
  <c r="BB41" i="2"/>
  <c r="BB8" i="2"/>
  <c r="BC8" i="2"/>
  <c r="BD8" i="2"/>
  <c r="BE8" i="2"/>
  <c r="BF8" i="2"/>
  <c r="BG8" i="2"/>
  <c r="BH8" i="2"/>
  <c r="BI8" i="2"/>
  <c r="BJ8" i="2"/>
  <c r="BK8" i="2"/>
  <c r="BB9" i="2"/>
  <c r="BC9" i="2"/>
  <c r="BD9" i="2"/>
  <c r="BE9" i="2"/>
  <c r="BF9" i="2"/>
  <c r="BG9" i="2"/>
  <c r="BH9" i="2"/>
  <c r="BI9" i="2"/>
  <c r="BJ9" i="2"/>
  <c r="BK9" i="2"/>
  <c r="BB10" i="2"/>
  <c r="BC10" i="2"/>
  <c r="BD10" i="2"/>
  <c r="BE10" i="2"/>
  <c r="BF10" i="2"/>
  <c r="BG10" i="2"/>
  <c r="BH10" i="2"/>
  <c r="BI10" i="2"/>
  <c r="BJ10" i="2"/>
  <c r="BK10" i="2"/>
  <c r="BB11" i="2"/>
  <c r="BC11" i="2"/>
  <c r="BD11" i="2"/>
  <c r="BE11" i="2"/>
  <c r="BF11" i="2"/>
  <c r="BG11" i="2"/>
  <c r="BH11" i="2"/>
  <c r="BI11" i="2"/>
  <c r="BJ11" i="2"/>
  <c r="BK11" i="2"/>
  <c r="BB12" i="2"/>
  <c r="BC12" i="2"/>
  <c r="BD12" i="2"/>
  <c r="BE12" i="2"/>
  <c r="BF12" i="2"/>
  <c r="BG12" i="2"/>
  <c r="BH12" i="2"/>
  <c r="BI12" i="2"/>
  <c r="BJ12" i="2"/>
  <c r="BK12" i="2"/>
  <c r="BB13" i="2"/>
  <c r="BC13" i="2"/>
  <c r="BD13" i="2"/>
  <c r="BE13" i="2"/>
  <c r="BF13" i="2"/>
  <c r="BG13" i="2"/>
  <c r="BH13" i="2"/>
  <c r="BI13" i="2"/>
  <c r="BJ13" i="2"/>
  <c r="BK13" i="2"/>
  <c r="BB14" i="2"/>
  <c r="BC14" i="2"/>
  <c r="BD14" i="2"/>
  <c r="BE14" i="2"/>
  <c r="BF14" i="2"/>
  <c r="BG14" i="2"/>
  <c r="BH14" i="2"/>
  <c r="BI14" i="2"/>
  <c r="BJ14" i="2"/>
  <c r="BK14" i="2"/>
  <c r="BB15" i="2"/>
  <c r="BC15" i="2"/>
  <c r="BD15" i="2"/>
  <c r="BE15" i="2"/>
  <c r="BF15" i="2"/>
  <c r="BG15" i="2"/>
  <c r="BH15" i="2"/>
  <c r="BI15" i="2"/>
  <c r="BJ15" i="2"/>
  <c r="BK15" i="2"/>
  <c r="BB16" i="2"/>
  <c r="BC16" i="2"/>
  <c r="BD16" i="2"/>
  <c r="BE16" i="2"/>
  <c r="BF16" i="2"/>
  <c r="BG16" i="2"/>
  <c r="BH16" i="2"/>
  <c r="BI16" i="2"/>
  <c r="BJ16" i="2"/>
  <c r="BK16" i="2"/>
  <c r="BB17" i="2"/>
  <c r="BC17" i="2"/>
  <c r="BD17" i="2"/>
  <c r="BE17" i="2"/>
  <c r="BF17" i="2"/>
  <c r="BG17" i="2"/>
  <c r="BH17" i="2"/>
  <c r="BI17" i="2"/>
  <c r="BJ17" i="2"/>
  <c r="BK17" i="2"/>
  <c r="BB18" i="2"/>
  <c r="BC18" i="2"/>
  <c r="BD18" i="2"/>
  <c r="BE18" i="2"/>
  <c r="BF18" i="2"/>
  <c r="BG18" i="2"/>
  <c r="BH18" i="2"/>
  <c r="BI18" i="2"/>
  <c r="BJ18" i="2"/>
  <c r="BK18" i="2"/>
  <c r="BB19" i="2"/>
  <c r="BC19" i="2"/>
  <c r="BD19" i="2"/>
  <c r="BE19" i="2"/>
  <c r="BF19" i="2"/>
  <c r="BG19" i="2"/>
  <c r="BH19" i="2"/>
  <c r="BI19" i="2"/>
  <c r="BJ19" i="2"/>
  <c r="BK19" i="2"/>
  <c r="BB20" i="2"/>
  <c r="BC20" i="2"/>
  <c r="BD20" i="2"/>
  <c r="BE20" i="2"/>
  <c r="BF20" i="2"/>
  <c r="BG20" i="2"/>
  <c r="BH20" i="2"/>
  <c r="BI20" i="2"/>
  <c r="BJ20" i="2"/>
  <c r="BK20" i="2"/>
  <c r="BB21" i="2"/>
  <c r="BC21" i="2"/>
  <c r="BD21" i="2"/>
  <c r="BE21" i="2"/>
  <c r="BF21" i="2"/>
  <c r="BG21" i="2"/>
  <c r="BH21" i="2"/>
  <c r="BI21" i="2"/>
  <c r="BJ21" i="2"/>
  <c r="BK21" i="2"/>
  <c r="BB22" i="2"/>
  <c r="BC22" i="2"/>
  <c r="BD22" i="2"/>
  <c r="BE22" i="2"/>
  <c r="BF22" i="2"/>
  <c r="BG22" i="2"/>
  <c r="BH22" i="2"/>
  <c r="BI22" i="2"/>
  <c r="BJ22" i="2"/>
  <c r="BK22" i="2"/>
  <c r="BB23" i="2"/>
  <c r="BC23" i="2"/>
  <c r="BD23" i="2"/>
  <c r="BE23" i="2"/>
  <c r="BF23" i="2"/>
  <c r="BG23" i="2"/>
  <c r="BH23" i="2"/>
  <c r="BI23" i="2"/>
  <c r="BJ23" i="2"/>
  <c r="BK23" i="2"/>
  <c r="BB24" i="2"/>
  <c r="BC24" i="2"/>
  <c r="BD24" i="2"/>
  <c r="BE24" i="2"/>
  <c r="BF24" i="2"/>
  <c r="BG24" i="2"/>
  <c r="BH24" i="2"/>
  <c r="BI24" i="2"/>
  <c r="BJ24" i="2"/>
  <c r="BK24" i="2"/>
  <c r="BB25" i="2"/>
  <c r="BC25" i="2"/>
  <c r="BD25" i="2"/>
  <c r="BE25" i="2"/>
  <c r="BF25" i="2"/>
  <c r="BG25" i="2"/>
  <c r="BH25" i="2"/>
  <c r="BI25" i="2"/>
  <c r="BJ25" i="2"/>
  <c r="BK25" i="2"/>
  <c r="BB26" i="2"/>
  <c r="BC26" i="2"/>
  <c r="BD26" i="2"/>
  <c r="BE26" i="2"/>
  <c r="BF26" i="2"/>
  <c r="BG26" i="2"/>
  <c r="BH26" i="2"/>
  <c r="BI26" i="2"/>
  <c r="BJ26" i="2"/>
  <c r="BK26" i="2"/>
  <c r="BB27" i="2"/>
  <c r="BC27" i="2"/>
  <c r="BD27" i="2"/>
  <c r="BE27" i="2"/>
  <c r="BF27" i="2"/>
  <c r="BG27" i="2"/>
  <c r="BH27" i="2"/>
  <c r="BI27" i="2"/>
  <c r="BJ27" i="2"/>
  <c r="BK27" i="2"/>
  <c r="BB28" i="2"/>
  <c r="BC28" i="2"/>
  <c r="BD28" i="2"/>
  <c r="BE28" i="2"/>
  <c r="BF28" i="2"/>
  <c r="BG28" i="2"/>
  <c r="BH28" i="2"/>
  <c r="BI28" i="2"/>
  <c r="BJ28" i="2"/>
  <c r="BK28" i="2"/>
  <c r="BB29" i="2"/>
  <c r="BC29" i="2"/>
  <c r="BD29" i="2"/>
  <c r="BE29" i="2"/>
  <c r="BF29" i="2"/>
  <c r="BG29" i="2"/>
  <c r="BH29" i="2"/>
  <c r="BI29" i="2"/>
  <c r="BJ29" i="2"/>
  <c r="BK29" i="2"/>
  <c r="BB30" i="2"/>
  <c r="BC30" i="2"/>
  <c r="BD30" i="2"/>
  <c r="BE30" i="2"/>
  <c r="BF30" i="2"/>
  <c r="BG30" i="2"/>
  <c r="BH30" i="2"/>
  <c r="BI30" i="2"/>
  <c r="BJ30" i="2"/>
  <c r="BK30" i="2"/>
  <c r="BB31" i="2"/>
  <c r="BC31" i="2"/>
  <c r="BD31" i="2"/>
  <c r="BE31" i="2"/>
  <c r="BF31" i="2"/>
  <c r="BG31" i="2"/>
  <c r="BH31" i="2"/>
  <c r="BI31" i="2"/>
  <c r="BJ31" i="2"/>
  <c r="BK31" i="2"/>
  <c r="BB32" i="2"/>
  <c r="BC32" i="2"/>
  <c r="BD32" i="2"/>
  <c r="BE32" i="2"/>
  <c r="BF32" i="2"/>
  <c r="BG32" i="2"/>
  <c r="BH32" i="2"/>
  <c r="BI32" i="2"/>
  <c r="BJ32" i="2"/>
  <c r="BK32" i="2"/>
  <c r="BB33" i="2"/>
  <c r="BC33" i="2"/>
  <c r="BD33" i="2"/>
  <c r="BE33" i="2"/>
  <c r="BF33" i="2"/>
  <c r="BG33" i="2"/>
  <c r="BH33" i="2"/>
  <c r="BI33" i="2"/>
  <c r="BJ33" i="2"/>
  <c r="BK33" i="2"/>
  <c r="BB34" i="2"/>
  <c r="BC34" i="2"/>
  <c r="BD34" i="2"/>
  <c r="BE34" i="2"/>
  <c r="BF34" i="2"/>
  <c r="BG34" i="2"/>
  <c r="BH34" i="2"/>
  <c r="BI34" i="2"/>
  <c r="BJ34" i="2"/>
  <c r="BK34" i="2"/>
  <c r="BB35" i="2"/>
  <c r="BC35" i="2"/>
  <c r="BD35" i="2"/>
  <c r="BE35" i="2"/>
  <c r="BF35" i="2"/>
  <c r="BG35" i="2"/>
  <c r="BH35" i="2"/>
  <c r="BI35" i="2"/>
  <c r="BJ35" i="2"/>
  <c r="BK35" i="2"/>
  <c r="BB36" i="2"/>
  <c r="BC36" i="2"/>
  <c r="BD36" i="2"/>
  <c r="BE36" i="2"/>
  <c r="BF36" i="2"/>
  <c r="BG36" i="2"/>
  <c r="BH36" i="2"/>
  <c r="BI36" i="2"/>
  <c r="BJ36" i="2"/>
  <c r="BK36" i="2"/>
  <c r="BB37" i="2"/>
  <c r="BC37" i="2"/>
  <c r="BD37" i="2"/>
  <c r="BE37" i="2"/>
  <c r="BF37" i="2"/>
  <c r="BG37" i="2"/>
  <c r="BH37" i="2"/>
  <c r="BI37" i="2"/>
  <c r="BJ37" i="2"/>
  <c r="BK37" i="2"/>
  <c r="BB38" i="2"/>
  <c r="BC38" i="2"/>
  <c r="BD38" i="2"/>
  <c r="BE38" i="2"/>
  <c r="BF38" i="2"/>
  <c r="BG38" i="2"/>
  <c r="BH38" i="2"/>
  <c r="BI38" i="2"/>
  <c r="BJ38" i="2"/>
  <c r="BK38" i="2"/>
  <c r="BB39" i="2"/>
  <c r="BC39" i="2"/>
  <c r="BD39" i="2"/>
  <c r="BE39" i="2"/>
  <c r="BF39" i="2"/>
  <c r="BG39" i="2"/>
  <c r="BH39" i="2"/>
  <c r="BI39" i="2"/>
  <c r="BJ39" i="2"/>
  <c r="BK39" i="2"/>
  <c r="BB40" i="2"/>
  <c r="BC40" i="2"/>
  <c r="BD40" i="2"/>
  <c r="BE40" i="2"/>
  <c r="BF40" i="2"/>
  <c r="BG40" i="2"/>
  <c r="BH40" i="2"/>
  <c r="BI40" i="2"/>
  <c r="BJ40" i="2"/>
  <c r="BK40" i="2"/>
  <c r="BB7" i="2"/>
  <c r="BC7" i="2"/>
  <c r="BD7" i="2"/>
  <c r="BE7" i="2"/>
  <c r="BF7" i="2"/>
  <c r="BG7" i="2"/>
  <c r="BH7" i="2"/>
  <c r="BI7" i="2"/>
  <c r="BJ7" i="2"/>
  <c r="BK7" i="2"/>
  <c r="BK6" i="2"/>
  <c r="BJ6" i="2"/>
  <c r="BI6" i="2"/>
  <c r="BH6" i="2"/>
  <c r="BG6" i="2"/>
  <c r="BF6" i="2"/>
  <c r="BE6" i="2"/>
  <c r="BD6" i="2"/>
  <c r="BC6" i="2"/>
  <c r="BB6" i="2"/>
  <c r="BK5" i="2"/>
  <c r="BJ5" i="2"/>
  <c r="BI5" i="2"/>
  <c r="BH5" i="2"/>
  <c r="BG5" i="2"/>
  <c r="BF5" i="2"/>
  <c r="BE5" i="2"/>
  <c r="BD5" i="2"/>
  <c r="BC5" i="2"/>
  <c r="BB5" i="2"/>
  <c r="BK4" i="2"/>
  <c r="BJ4" i="2"/>
  <c r="BI4" i="2"/>
  <c r="BH4" i="2"/>
  <c r="BG4" i="2"/>
  <c r="BF4" i="2"/>
  <c r="BE4" i="2"/>
  <c r="BD4" i="2"/>
  <c r="BC4" i="2"/>
  <c r="BB4" i="2"/>
  <c r="BK3" i="2"/>
  <c r="BJ3" i="2"/>
  <c r="BI3" i="2"/>
  <c r="BH3" i="2"/>
  <c r="BG3" i="2"/>
  <c r="BF3" i="2"/>
  <c r="BE3" i="2"/>
  <c r="BD3" i="2"/>
  <c r="BC3" i="2"/>
  <c r="BB3" i="2"/>
  <c r="BB2" i="2"/>
  <c r="BC2" i="2"/>
  <c r="BD2" i="2"/>
  <c r="BE2" i="2"/>
  <c r="BF2" i="2"/>
  <c r="BK2" i="2"/>
  <c r="BJ2" i="2"/>
  <c r="BI2" i="2"/>
  <c r="BH2" i="2"/>
  <c r="BG2" i="2"/>
  <c r="F8" i="1" l="1"/>
  <c r="AT1" i="1"/>
  <c r="F4" i="1"/>
  <c r="F3" i="1"/>
  <c r="AH3" i="1" l="1"/>
  <c r="F11" i="1" l="1"/>
  <c r="AC17" i="1" s="1"/>
  <c r="F12" i="1"/>
  <c r="F10" i="1"/>
  <c r="AH17" i="1" s="1"/>
  <c r="F9" i="1"/>
  <c r="F7" i="1"/>
  <c r="F6" i="1"/>
  <c r="F5" i="1"/>
  <c r="AO51" i="2" l="1"/>
  <c r="AO52" i="2"/>
  <c r="BM52" i="2"/>
  <c r="BL52" i="2"/>
  <c r="AC51" i="2"/>
  <c r="AC52" i="2"/>
  <c r="BM51" i="2"/>
  <c r="BL51" i="2"/>
  <c r="BM58" i="2"/>
  <c r="BM62" i="2"/>
  <c r="BM48" i="2"/>
  <c r="BM98" i="2"/>
  <c r="BM54" i="2"/>
  <c r="BM66" i="2"/>
  <c r="BM70" i="2"/>
  <c r="BM74" i="2"/>
  <c r="BM78" i="2"/>
  <c r="BM82" i="2"/>
  <c r="BM86" i="2"/>
  <c r="BM90" i="2"/>
  <c r="BM94" i="2"/>
  <c r="BM89" i="2"/>
  <c r="BM73" i="2"/>
  <c r="BM57" i="2"/>
  <c r="BM39" i="2"/>
  <c r="BM23" i="2"/>
  <c r="BM7" i="2"/>
  <c r="BM92" i="2"/>
  <c r="BM76" i="2"/>
  <c r="BM60" i="2"/>
  <c r="BM42" i="2"/>
  <c r="BM26" i="2"/>
  <c r="BM10" i="2"/>
  <c r="BM36" i="2"/>
  <c r="BM20" i="2"/>
  <c r="BM4" i="2"/>
  <c r="BM95" i="2"/>
  <c r="BM79" i="2"/>
  <c r="BM63" i="2"/>
  <c r="BM45" i="2"/>
  <c r="BM29" i="2"/>
  <c r="BM13" i="2"/>
  <c r="BM5" i="2"/>
  <c r="BM65" i="2"/>
  <c r="BM31" i="2"/>
  <c r="BM100" i="2"/>
  <c r="BM68" i="2"/>
  <c r="BM34" i="2"/>
  <c r="BM44" i="2"/>
  <c r="BM12" i="2"/>
  <c r="BM87" i="2"/>
  <c r="BM55" i="2"/>
  <c r="BM21" i="2"/>
  <c r="BM77" i="2"/>
  <c r="BM43" i="2"/>
  <c r="BM11" i="2"/>
  <c r="BM80" i="2"/>
  <c r="BM46" i="2"/>
  <c r="BM14" i="2"/>
  <c r="BM24" i="2"/>
  <c r="BM99" i="2"/>
  <c r="BM67" i="2"/>
  <c r="BM33" i="2"/>
  <c r="BM85" i="2"/>
  <c r="BM69" i="2"/>
  <c r="BM53" i="2"/>
  <c r="BM35" i="2"/>
  <c r="BM19" i="2"/>
  <c r="BM3" i="2"/>
  <c r="BM88" i="2"/>
  <c r="BM72" i="2"/>
  <c r="BM56" i="2"/>
  <c r="BM38" i="2"/>
  <c r="BM22" i="2"/>
  <c r="BM6" i="2"/>
  <c r="BM32" i="2"/>
  <c r="BM16" i="2"/>
  <c r="BM101" i="2"/>
  <c r="BM91" i="2"/>
  <c r="BM75" i="2"/>
  <c r="BM59" i="2"/>
  <c r="BM41" i="2"/>
  <c r="BM25" i="2"/>
  <c r="BM9" i="2"/>
  <c r="BM81" i="2"/>
  <c r="BM47" i="2"/>
  <c r="BM15" i="2"/>
  <c r="BM84" i="2"/>
  <c r="BM50" i="2"/>
  <c r="BM18" i="2"/>
  <c r="BM28" i="2"/>
  <c r="BM93" i="2"/>
  <c r="BM71" i="2"/>
  <c r="BM37" i="2"/>
  <c r="BM97" i="2"/>
  <c r="BM61" i="2"/>
  <c r="BM27" i="2"/>
  <c r="BM96" i="2"/>
  <c r="BM64" i="2"/>
  <c r="BM30" i="2"/>
  <c r="BM40" i="2"/>
  <c r="BM8" i="2"/>
  <c r="BM83" i="2"/>
  <c r="BM49" i="2"/>
  <c r="BM17" i="2"/>
  <c r="BM2" i="2"/>
  <c r="BL3" i="2"/>
  <c r="BL7" i="2"/>
  <c r="BL97" i="2"/>
  <c r="BL96" i="2"/>
  <c r="BL80" i="2"/>
  <c r="BL64" i="2"/>
  <c r="BL46" i="2"/>
  <c r="BL30" i="2"/>
  <c r="BL14" i="2"/>
  <c r="BL95" i="2"/>
  <c r="BL79" i="2"/>
  <c r="BL63" i="2"/>
  <c r="BL45" i="2"/>
  <c r="BL29" i="2"/>
  <c r="BL13" i="2"/>
  <c r="BL94" i="2"/>
  <c r="BL78" i="2"/>
  <c r="BL62" i="2"/>
  <c r="BL44" i="2"/>
  <c r="BL28" i="2"/>
  <c r="BL12" i="2"/>
  <c r="BL85" i="2"/>
  <c r="BL65" i="2"/>
  <c r="BL47" i="2"/>
  <c r="BL31" i="2"/>
  <c r="BL15" i="2"/>
  <c r="BL89" i="2"/>
  <c r="BL92" i="2"/>
  <c r="BL76" i="2"/>
  <c r="BL60" i="2"/>
  <c r="BL42" i="2"/>
  <c r="BL26" i="2"/>
  <c r="BL10" i="2"/>
  <c r="BL91" i="2"/>
  <c r="BL75" i="2"/>
  <c r="BL59" i="2"/>
  <c r="BL41" i="2"/>
  <c r="BL25" i="2"/>
  <c r="BL9" i="2"/>
  <c r="BL90" i="2"/>
  <c r="BL74" i="2"/>
  <c r="BL58" i="2"/>
  <c r="BL40" i="2"/>
  <c r="BL24" i="2"/>
  <c r="BL8" i="2"/>
  <c r="BL77" i="2"/>
  <c r="BL61" i="2"/>
  <c r="BL43" i="2"/>
  <c r="BL27" i="2"/>
  <c r="BL11" i="2"/>
  <c r="BL81" i="2"/>
  <c r="BL88" i="2"/>
  <c r="BL72" i="2"/>
  <c r="BL56" i="2"/>
  <c r="BL38" i="2"/>
  <c r="BL22" i="2"/>
  <c r="BL6" i="2"/>
  <c r="BL87" i="2"/>
  <c r="BL71" i="2"/>
  <c r="BL55" i="2"/>
  <c r="BL37" i="2"/>
  <c r="BL21" i="2"/>
  <c r="BL5" i="2"/>
  <c r="BL86" i="2"/>
  <c r="BL70" i="2"/>
  <c r="BL54" i="2"/>
  <c r="BL36" i="2"/>
  <c r="BL20" i="2"/>
  <c r="BL4" i="2"/>
  <c r="BL73" i="2"/>
  <c r="BL57" i="2"/>
  <c r="BL39" i="2"/>
  <c r="BL23" i="2"/>
  <c r="BL101" i="2"/>
  <c r="BL100" i="2"/>
  <c r="BL84" i="2"/>
  <c r="BL68" i="2"/>
  <c r="BL50" i="2"/>
  <c r="BL34" i="2"/>
  <c r="BL18" i="2"/>
  <c r="BL99" i="2"/>
  <c r="BL83" i="2"/>
  <c r="BL67" i="2"/>
  <c r="BL49" i="2"/>
  <c r="BL33" i="2"/>
  <c r="BL17" i="2"/>
  <c r="BL98" i="2"/>
  <c r="BL82" i="2"/>
  <c r="BL66" i="2"/>
  <c r="BL48" i="2"/>
  <c r="BL32" i="2"/>
  <c r="BL16" i="2"/>
  <c r="BL93" i="2"/>
  <c r="BL69" i="2"/>
  <c r="BL53" i="2"/>
  <c r="BL35" i="2"/>
  <c r="BL19" i="2"/>
  <c r="BL2" i="2"/>
  <c r="BA31" i="2"/>
  <c r="BA32" i="2"/>
  <c r="AL31" i="2"/>
  <c r="AH31" i="2"/>
  <c r="AF31" i="2"/>
  <c r="AE31" i="2"/>
  <c r="AD31" i="2"/>
  <c r="Y31" i="2"/>
  <c r="BA15" i="2"/>
  <c r="AL15" i="2"/>
  <c r="AF15" i="2"/>
  <c r="AE15" i="2"/>
  <c r="AD15" i="2"/>
  <c r="Y15" i="2"/>
  <c r="AF44" i="2" l="1"/>
  <c r="AE44" i="2"/>
  <c r="AE101" i="2"/>
  <c r="AF101" i="2"/>
  <c r="AF97" i="2"/>
  <c r="AE97" i="2"/>
  <c r="AF98" i="2"/>
  <c r="AE98" i="2"/>
  <c r="AF96" i="2"/>
  <c r="AE96" i="2"/>
  <c r="AF95" i="2"/>
  <c r="AE95" i="2"/>
  <c r="AF94" i="2"/>
  <c r="AE94" i="2"/>
  <c r="AF100" i="2"/>
  <c r="AE100" i="2"/>
  <c r="AF99" i="2"/>
  <c r="AE99" i="2"/>
  <c r="AF93" i="2"/>
  <c r="AE93" i="2"/>
  <c r="AF92" i="2"/>
  <c r="AE92" i="2"/>
  <c r="AF91" i="2"/>
  <c r="AE91" i="2"/>
  <c r="AF90" i="2"/>
  <c r="AE90" i="2"/>
  <c r="AF89" i="2"/>
  <c r="AE89" i="2"/>
  <c r="AF88" i="2"/>
  <c r="AE88" i="2"/>
  <c r="AF87" i="2"/>
  <c r="AE87" i="2"/>
  <c r="AF86" i="2"/>
  <c r="AE86" i="2"/>
  <c r="AF85" i="2"/>
  <c r="AE85" i="2"/>
  <c r="AF84" i="2"/>
  <c r="AE84" i="2"/>
  <c r="AF83" i="2"/>
  <c r="AE83" i="2"/>
  <c r="AF82" i="2"/>
  <c r="AE82" i="2"/>
  <c r="AF81" i="2"/>
  <c r="AE81" i="2"/>
  <c r="AF80" i="2"/>
  <c r="AE80" i="2"/>
  <c r="AF79" i="2"/>
  <c r="AE79" i="2"/>
  <c r="AF78" i="2"/>
  <c r="AE78" i="2"/>
  <c r="AF77" i="2"/>
  <c r="AE77" i="2"/>
  <c r="AF76" i="2"/>
  <c r="AE76" i="2"/>
  <c r="AF75" i="2"/>
  <c r="AE75" i="2"/>
  <c r="AF74" i="2"/>
  <c r="AE74" i="2"/>
  <c r="AF73" i="2"/>
  <c r="AE73" i="2"/>
  <c r="AF72" i="2"/>
  <c r="AE72" i="2"/>
  <c r="AF71" i="2"/>
  <c r="AE71" i="2"/>
  <c r="AF70" i="2"/>
  <c r="AE70" i="2"/>
  <c r="AF69" i="2"/>
  <c r="AE69" i="2"/>
  <c r="AF68" i="2"/>
  <c r="AE68" i="2"/>
  <c r="AF67" i="2"/>
  <c r="AE67" i="2"/>
  <c r="AF66" i="2"/>
  <c r="AF65" i="2"/>
  <c r="AE65" i="2"/>
  <c r="AF64" i="2"/>
  <c r="AE64" i="2"/>
  <c r="AF63" i="2"/>
  <c r="AE63" i="2"/>
  <c r="AF62" i="2"/>
  <c r="AE62" i="2"/>
  <c r="AF60" i="2"/>
  <c r="AE60" i="2"/>
  <c r="AF59" i="2"/>
  <c r="AE59" i="2"/>
  <c r="AF58" i="2"/>
  <c r="AF57" i="2"/>
  <c r="AE57" i="2"/>
  <c r="AF56" i="2"/>
  <c r="AE56" i="2"/>
  <c r="AF55" i="2"/>
  <c r="AE55" i="2"/>
  <c r="AF53" i="2"/>
  <c r="AE53" i="2"/>
  <c r="AE50" i="2"/>
  <c r="AF49" i="2"/>
  <c r="AE49" i="2"/>
  <c r="AF48" i="2"/>
  <c r="AE48" i="2"/>
  <c r="AF47" i="2"/>
  <c r="AE47" i="2"/>
  <c r="AF46" i="2"/>
  <c r="AE46" i="2"/>
  <c r="AF45" i="2"/>
  <c r="AE45" i="2"/>
  <c r="AF2" i="2"/>
  <c r="AE2" i="2"/>
  <c r="AF4" i="2"/>
  <c r="AE4" i="2"/>
  <c r="AE5" i="2"/>
  <c r="AF6" i="2"/>
  <c r="AE6" i="2"/>
  <c r="AF7" i="2"/>
  <c r="AE7" i="2"/>
  <c r="AF8" i="2"/>
  <c r="AE8" i="2"/>
  <c r="AF9" i="2"/>
  <c r="AE9" i="2"/>
  <c r="AF10" i="2"/>
  <c r="AE10" i="2"/>
  <c r="AF11" i="2"/>
  <c r="AE11" i="2"/>
  <c r="AF12" i="2"/>
  <c r="AE12" i="2"/>
  <c r="AF13" i="2"/>
  <c r="AE13" i="2"/>
  <c r="AF14" i="2"/>
  <c r="AE14" i="2"/>
  <c r="AF16" i="2"/>
  <c r="AE16" i="2"/>
  <c r="AF17" i="2"/>
  <c r="AE17" i="2"/>
  <c r="AF18" i="2"/>
  <c r="AE18" i="2"/>
  <c r="AF19" i="2"/>
  <c r="AE19" i="2"/>
  <c r="AF20" i="2"/>
  <c r="AE20" i="2"/>
  <c r="AF21" i="2"/>
  <c r="AE21" i="2"/>
  <c r="AF22" i="2"/>
  <c r="AE22" i="2"/>
  <c r="AF23" i="2"/>
  <c r="AE23" i="2"/>
  <c r="AF24" i="2"/>
  <c r="AE24" i="2"/>
  <c r="AF25" i="2"/>
  <c r="AE25" i="2"/>
  <c r="AF26" i="2"/>
  <c r="AE26" i="2"/>
  <c r="AE27" i="2"/>
  <c r="AF27" i="2"/>
  <c r="AF28" i="2"/>
  <c r="AE28" i="2"/>
  <c r="AE29" i="2"/>
  <c r="AF29" i="2"/>
  <c r="AE30" i="2"/>
  <c r="AF30" i="2"/>
  <c r="AF32" i="2"/>
  <c r="AF33" i="2"/>
  <c r="AF34" i="2"/>
  <c r="AF35" i="2"/>
  <c r="AF36" i="2"/>
  <c r="AF37" i="2"/>
  <c r="AF38" i="2"/>
  <c r="AE32" i="2"/>
  <c r="AE33" i="2"/>
  <c r="AE34" i="2"/>
  <c r="AE35" i="2"/>
  <c r="AE36" i="2"/>
  <c r="AE37" i="2"/>
  <c r="AE38" i="2"/>
  <c r="AF39" i="2"/>
  <c r="AE39" i="2"/>
  <c r="AF41" i="2"/>
  <c r="AF40" i="2"/>
  <c r="AE40" i="2"/>
  <c r="AE41" i="2"/>
  <c r="AF43" i="2"/>
  <c r="AE43" i="2"/>
  <c r="AI97" i="2" l="1"/>
  <c r="AI93" i="2"/>
  <c r="AI91" i="2"/>
  <c r="AI90" i="2"/>
  <c r="AI17" i="2"/>
  <c r="AI22" i="2"/>
  <c r="AI45" i="2"/>
  <c r="AI44" i="2"/>
  <c r="AI42" i="2"/>
  <c r="R17" i="1"/>
  <c r="O17" i="1"/>
  <c r="AO43" i="2" l="1"/>
  <c r="AO19" i="2"/>
  <c r="AD3" i="2" l="1"/>
  <c r="AD5" i="2"/>
  <c r="AD4" i="2"/>
  <c r="AD101" i="2" l="1"/>
  <c r="AH101" i="2"/>
  <c r="AH100" i="2"/>
  <c r="AH99" i="2"/>
  <c r="AH98" i="2"/>
  <c r="AH97" i="2"/>
  <c r="AH96" i="2"/>
  <c r="AH95" i="2"/>
  <c r="AH94" i="2"/>
  <c r="AH93" i="2"/>
  <c r="AH92" i="2"/>
  <c r="AH91" i="2"/>
  <c r="AH90" i="2"/>
  <c r="AH89" i="2"/>
  <c r="AH88" i="2"/>
  <c r="AH87" i="2"/>
  <c r="AH86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H4" i="2"/>
  <c r="AH3" i="2"/>
  <c r="AH2" i="2"/>
  <c r="AM98" i="2" l="1"/>
  <c r="BA98" i="2"/>
  <c r="AL98" i="2"/>
  <c r="AD98" i="2"/>
  <c r="Y98" i="2"/>
  <c r="AN19" i="2"/>
  <c r="AJ19" i="2"/>
  <c r="AD19" i="2"/>
  <c r="BA19" i="2"/>
  <c r="AL19" i="2"/>
  <c r="Y19" i="2"/>
  <c r="AM97" i="2"/>
  <c r="AL97" i="2"/>
  <c r="AD97" i="2"/>
  <c r="BA97" i="2"/>
  <c r="Y97" i="2"/>
  <c r="AM96" i="2"/>
  <c r="AL101" i="2" l="1"/>
  <c r="AL100" i="2"/>
  <c r="AL99" i="2"/>
  <c r="AL4" i="2"/>
  <c r="AL2" i="2"/>
  <c r="AL3" i="2"/>
  <c r="AL26" i="2"/>
  <c r="AL25" i="2"/>
  <c r="AL5" i="2"/>
  <c r="AL6" i="2"/>
  <c r="AL7" i="2"/>
  <c r="AL8" i="2"/>
  <c r="AL9" i="2"/>
  <c r="AL10" i="2"/>
  <c r="AL11" i="2"/>
  <c r="AL12" i="2"/>
  <c r="AL13" i="2"/>
  <c r="AL14" i="2"/>
  <c r="AL16" i="2"/>
  <c r="AL17" i="2"/>
  <c r="AL18" i="2"/>
  <c r="AL20" i="2"/>
  <c r="AL21" i="2"/>
  <c r="AL22" i="2"/>
  <c r="AL23" i="2"/>
  <c r="AL24" i="2"/>
  <c r="AL27" i="2"/>
  <c r="AL28" i="2"/>
  <c r="AL29" i="2"/>
  <c r="AL30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6" i="2"/>
  <c r="AL95" i="2"/>
  <c r="AD95" i="2"/>
  <c r="BA96" i="2"/>
  <c r="AD96" i="2"/>
  <c r="Y96" i="2"/>
  <c r="BA95" i="2"/>
  <c r="AM95" i="2"/>
  <c r="Y95" i="2"/>
  <c r="AM101" i="2" l="1"/>
  <c r="BA101" i="2"/>
  <c r="Y101" i="2"/>
  <c r="BA40" i="2" l="1"/>
  <c r="AD40" i="2"/>
  <c r="Y40" i="2"/>
  <c r="BA39" i="2"/>
  <c r="AD39" i="2"/>
  <c r="Y39" i="2"/>
  <c r="BA38" i="2"/>
  <c r="AD38" i="2"/>
  <c r="Y38" i="2"/>
  <c r="BA37" i="2"/>
  <c r="AD37" i="2"/>
  <c r="Y37" i="2"/>
  <c r="BA36" i="2"/>
  <c r="AD36" i="2"/>
  <c r="Y36" i="2"/>
  <c r="BA35" i="2"/>
  <c r="AD35" i="2"/>
  <c r="Y35" i="2"/>
  <c r="BA34" i="2"/>
  <c r="AD34" i="2"/>
  <c r="Y34" i="2"/>
  <c r="BA33" i="2"/>
  <c r="AD33" i="2"/>
  <c r="Y33" i="2"/>
  <c r="AD32" i="2"/>
  <c r="Y32" i="2"/>
  <c r="BA30" i="2"/>
  <c r="AD30" i="2"/>
  <c r="Y30" i="2"/>
  <c r="BA29" i="2"/>
  <c r="AD29" i="2"/>
  <c r="Y29" i="2"/>
  <c r="BA28" i="2"/>
  <c r="AD28" i="2"/>
  <c r="Y28" i="2"/>
  <c r="BA27" i="2"/>
  <c r="AD27" i="2"/>
  <c r="Y27" i="2"/>
  <c r="AA26" i="2"/>
  <c r="BA26" i="2"/>
  <c r="AD26" i="2"/>
  <c r="Y26" i="2"/>
  <c r="BA25" i="2"/>
  <c r="AD25" i="2"/>
  <c r="Y25" i="2"/>
  <c r="BA24" i="2"/>
  <c r="AD24" i="2"/>
  <c r="Y24" i="2"/>
  <c r="BA23" i="2"/>
  <c r="AD23" i="2"/>
  <c r="Y23" i="2"/>
  <c r="BA22" i="2" l="1"/>
  <c r="AD22" i="2"/>
  <c r="Y22" i="2"/>
  <c r="BA21" i="2"/>
  <c r="AD21" i="2"/>
  <c r="Y21" i="2"/>
  <c r="BA20" i="2"/>
  <c r="AD20" i="2"/>
  <c r="Y20" i="2"/>
  <c r="BA18" i="2"/>
  <c r="AD18" i="2"/>
  <c r="Y18" i="2"/>
  <c r="BA17" i="2"/>
  <c r="AD17" i="2"/>
  <c r="Y17" i="2"/>
  <c r="BA16" i="2"/>
  <c r="AD16" i="2"/>
  <c r="Y16" i="2"/>
  <c r="AS14" i="2" l="1"/>
  <c r="BA14" i="2"/>
  <c r="AD14" i="2"/>
  <c r="Y14" i="2"/>
  <c r="AQ13" i="2"/>
  <c r="BA13" i="2"/>
  <c r="AD13" i="2"/>
  <c r="Y13" i="2"/>
  <c r="BA12" i="2"/>
  <c r="AD12" i="2"/>
  <c r="Y12" i="2"/>
  <c r="BA11" i="2"/>
  <c r="AD11" i="2"/>
  <c r="Y11" i="2"/>
  <c r="BA10" i="2"/>
  <c r="AD10" i="2"/>
  <c r="Y10" i="2"/>
  <c r="AU9" i="2" l="1"/>
  <c r="AD9" i="2"/>
  <c r="BA9" i="2"/>
  <c r="Y9" i="2"/>
  <c r="BA8" i="2"/>
  <c r="AD8" i="2"/>
  <c r="Y8" i="2"/>
  <c r="BA7" i="2"/>
  <c r="AD7" i="2"/>
  <c r="Y7" i="2"/>
  <c r="BA6" i="2"/>
  <c r="AD6" i="2"/>
  <c r="Y6" i="2"/>
  <c r="BA5" i="2"/>
  <c r="Y5" i="2"/>
  <c r="BA4" i="2"/>
  <c r="Y4" i="2"/>
  <c r="BA3" i="2"/>
  <c r="Y3" i="2"/>
  <c r="BA80" i="2" l="1"/>
  <c r="AM80" i="2"/>
  <c r="AD80" i="2"/>
  <c r="Y80" i="2"/>
  <c r="BA87" i="2" l="1"/>
  <c r="AM87" i="2"/>
  <c r="AD87" i="2"/>
  <c r="Y87" i="2"/>
  <c r="BA88" i="2"/>
  <c r="AM88" i="2"/>
  <c r="AD88" i="2"/>
  <c r="Y88" i="2"/>
  <c r="BA83" i="2"/>
  <c r="AM83" i="2"/>
  <c r="AD83" i="2"/>
  <c r="Y83" i="2"/>
  <c r="AM82" i="2"/>
  <c r="BA82" i="2"/>
  <c r="AD82" i="2"/>
  <c r="Y82" i="2"/>
  <c r="AM81" i="2"/>
  <c r="BA85" i="2"/>
  <c r="BA81" i="2"/>
  <c r="AD81" i="2"/>
  <c r="Y81" i="2"/>
  <c r="AM89" i="2"/>
  <c r="AM85" i="2"/>
  <c r="AM84" i="2"/>
  <c r="AM79" i="2"/>
  <c r="BA89" i="2"/>
  <c r="AD89" i="2"/>
  <c r="Y89" i="2"/>
  <c r="AM100" i="2"/>
  <c r="AM99" i="2"/>
  <c r="AM94" i="2"/>
  <c r="AM93" i="2"/>
  <c r="AM92" i="2"/>
  <c r="AM78" i="2"/>
  <c r="AM77" i="2"/>
  <c r="AM76" i="2"/>
  <c r="AM75" i="2"/>
  <c r="AM74" i="2"/>
  <c r="AM73" i="2"/>
  <c r="AM72" i="2"/>
  <c r="AM71" i="2"/>
  <c r="AM70" i="2"/>
  <c r="AM69" i="2"/>
  <c r="AM68" i="2"/>
  <c r="AM67" i="2"/>
  <c r="AM66" i="2"/>
  <c r="AM65" i="2"/>
  <c r="AM64" i="2"/>
  <c r="AM63" i="2"/>
  <c r="AM62" i="2"/>
  <c r="AM61" i="2"/>
  <c r="AM60" i="2"/>
  <c r="AM59" i="2"/>
  <c r="AM58" i="2"/>
  <c r="AM57" i="2"/>
  <c r="AM56" i="2"/>
  <c r="AM55" i="2"/>
  <c r="AM53" i="2"/>
  <c r="AM50" i="2"/>
  <c r="AM49" i="2"/>
  <c r="AM48" i="2"/>
  <c r="AM46" i="2"/>
  <c r="AM86" i="2"/>
  <c r="BA86" i="2"/>
  <c r="AD86" i="2"/>
  <c r="Y86" i="2"/>
  <c r="AD85" i="2"/>
  <c r="Y85" i="2"/>
  <c r="BA62" i="2"/>
  <c r="AD62" i="2"/>
  <c r="Y62" i="2"/>
  <c r="BA84" i="2"/>
  <c r="AD84" i="2"/>
  <c r="Y84" i="2"/>
  <c r="AU76" i="2" l="1"/>
  <c r="AT74" i="2"/>
  <c r="AR50" i="2"/>
  <c r="Y45" i="2"/>
  <c r="Y44" i="2"/>
  <c r="AN43" i="2"/>
  <c r="Y43" i="2"/>
  <c r="AN42" i="2"/>
  <c r="Y42" i="2"/>
  <c r="Y41" i="2"/>
  <c r="Y2" i="2"/>
  <c r="BA100" i="2"/>
  <c r="BA99" i="2"/>
  <c r="BA94" i="2"/>
  <c r="BA93" i="2"/>
  <c r="BA92" i="2"/>
  <c r="BA91" i="2"/>
  <c r="BA90" i="2"/>
  <c r="BA76" i="2"/>
  <c r="BA78" i="2"/>
  <c r="BA77" i="2"/>
  <c r="BA74" i="2"/>
  <c r="BA75" i="2"/>
  <c r="BA60" i="2"/>
  <c r="BA55" i="2"/>
  <c r="BA58" i="2"/>
  <c r="BA67" i="2"/>
  <c r="BA68" i="2"/>
  <c r="BA66" i="2"/>
  <c r="BA65" i="2"/>
  <c r="BA64" i="2"/>
  <c r="BA63" i="2"/>
  <c r="BA61" i="2"/>
  <c r="BA59" i="2"/>
  <c r="BA57" i="2"/>
  <c r="BA56" i="2"/>
  <c r="BA54" i="2"/>
  <c r="BA53" i="2"/>
  <c r="BA50" i="2"/>
  <c r="BA49" i="2"/>
  <c r="BA48" i="2"/>
  <c r="BA47" i="2"/>
  <c r="BA45" i="2"/>
  <c r="BA44" i="2"/>
  <c r="BA43" i="2"/>
  <c r="BA42" i="2"/>
  <c r="BA41" i="2"/>
  <c r="BA2" i="2"/>
  <c r="AD100" i="2"/>
  <c r="AD99" i="2"/>
  <c r="AD94" i="2"/>
  <c r="AD93" i="2"/>
  <c r="AD92" i="2"/>
  <c r="AD91" i="2"/>
  <c r="AD90" i="2"/>
  <c r="AD79" i="2"/>
  <c r="AD76" i="2"/>
  <c r="AD78" i="2"/>
  <c r="AD77" i="2"/>
  <c r="AD74" i="2"/>
  <c r="AD75" i="2"/>
  <c r="AD73" i="2"/>
  <c r="AD72" i="2"/>
  <c r="AD71" i="2"/>
  <c r="AD60" i="2"/>
  <c r="AD55" i="2"/>
  <c r="AD58" i="2"/>
  <c r="AD70" i="2"/>
  <c r="AD69" i="2"/>
  <c r="AD67" i="2"/>
  <c r="AD68" i="2"/>
  <c r="AD66" i="2"/>
  <c r="AD65" i="2"/>
  <c r="AD64" i="2"/>
  <c r="AD63" i="2"/>
  <c r="AD61" i="2"/>
  <c r="AD59" i="2"/>
  <c r="AD57" i="2"/>
  <c r="AD46" i="2"/>
  <c r="AD56" i="2"/>
  <c r="AD54" i="2"/>
  <c r="AD53" i="2"/>
  <c r="AD50" i="2"/>
  <c r="AD49" i="2"/>
  <c r="AD48" i="2"/>
  <c r="AD47" i="2"/>
  <c r="AD45" i="2"/>
  <c r="AD44" i="2"/>
  <c r="AD43" i="2"/>
  <c r="AD42" i="2"/>
  <c r="AD41" i="2"/>
  <c r="AD2" i="2"/>
  <c r="Y100" i="2"/>
  <c r="Y99" i="2"/>
  <c r="Y94" i="2"/>
  <c r="Y93" i="2"/>
  <c r="Y92" i="2"/>
  <c r="Y91" i="2"/>
  <c r="Y90" i="2"/>
  <c r="Y79" i="2"/>
  <c r="Y76" i="2"/>
  <c r="Y78" i="2"/>
  <c r="Y77" i="2"/>
  <c r="Y74" i="2"/>
  <c r="Y75" i="2"/>
  <c r="Y73" i="2"/>
  <c r="Y72" i="2"/>
  <c r="Y71" i="2"/>
  <c r="Y60" i="2"/>
  <c r="Y55" i="2"/>
  <c r="Y58" i="2"/>
  <c r="Y70" i="2"/>
  <c r="Y69" i="2"/>
  <c r="Y67" i="2"/>
  <c r="Y68" i="2"/>
  <c r="Y66" i="2"/>
  <c r="Y65" i="2"/>
  <c r="Y64" i="2"/>
  <c r="Y63" i="2"/>
  <c r="Y61" i="2"/>
  <c r="Y59" i="2"/>
  <c r="Y57" i="2"/>
  <c r="Y56" i="2"/>
  <c r="Y54" i="2"/>
  <c r="Y53" i="2"/>
  <c r="Y50" i="2"/>
  <c r="Y49" i="2"/>
  <c r="Y48" i="2"/>
  <c r="Y47" i="2"/>
  <c r="Y46" i="2"/>
  <c r="BA73" i="2"/>
  <c r="BA72" i="2"/>
  <c r="BA71" i="2"/>
  <c r="BA79" i="2"/>
  <c r="BA69" i="2"/>
  <c r="BA70" i="2"/>
  <c r="BA46" i="2"/>
  <c r="I20" i="2" l="1"/>
  <c r="I42" i="2"/>
  <c r="L17" i="1"/>
  <c r="A15" i="1"/>
  <c r="AH24" i="1"/>
  <c r="AF61" i="2" l="1"/>
  <c r="AE61" i="2"/>
  <c r="AE42" i="2"/>
  <c r="AF42" i="2"/>
  <c r="AH8" i="1"/>
  <c r="E16" i="1" l="1"/>
  <c r="G5" i="1"/>
  <c r="V29" i="1"/>
  <c r="V28" i="1"/>
  <c r="V27" i="1"/>
  <c r="V26" i="1"/>
  <c r="V25" i="1"/>
  <c r="V24" i="1"/>
  <c r="V23" i="1"/>
  <c r="V22" i="1"/>
  <c r="V21" i="1"/>
  <c r="V20" i="1"/>
  <c r="S29" i="1"/>
  <c r="S28" i="1"/>
  <c r="S27" i="1"/>
  <c r="S26" i="1"/>
  <c r="S25" i="1"/>
  <c r="S23" i="1"/>
  <c r="S22" i="1"/>
  <c r="S21" i="1"/>
  <c r="P29" i="1"/>
  <c r="P28" i="1"/>
  <c r="P27" i="1"/>
  <c r="P26" i="1"/>
  <c r="P25" i="1"/>
  <c r="P23" i="1"/>
  <c r="P22" i="1"/>
  <c r="P21" i="1"/>
  <c r="M29" i="1"/>
  <c r="M28" i="1"/>
  <c r="M27" i="1"/>
  <c r="M26" i="1"/>
  <c r="M25" i="1"/>
  <c r="M23" i="1"/>
  <c r="M22" i="1"/>
  <c r="M21" i="1"/>
  <c r="M24" i="1" l="1"/>
  <c r="M20" i="1"/>
  <c r="P20" i="1"/>
  <c r="P24" i="1"/>
  <c r="S24" i="1"/>
  <c r="S20" i="1"/>
  <c r="AE11" i="1" l="1"/>
  <c r="G6" i="1"/>
  <c r="AI34" i="1" l="1"/>
  <c r="AC14" i="1"/>
  <c r="AO22" i="2" l="1"/>
  <c r="AO42" i="2"/>
  <c r="AC50" i="2"/>
  <c r="U17" i="1" s="1"/>
  <c r="U19" i="1" s="1"/>
  <c r="AC15" i="1"/>
  <c r="AI26" i="1"/>
  <c r="AI29" i="1"/>
  <c r="AI33" i="1"/>
  <c r="L19" i="1"/>
  <c r="AI32" i="1"/>
  <c r="AI31" i="1"/>
  <c r="O19" i="1"/>
  <c r="AO98" i="2"/>
  <c r="AO29" i="2"/>
  <c r="AO83" i="2"/>
  <c r="AO14" i="2"/>
  <c r="AO91" i="2"/>
  <c r="AO65" i="2"/>
  <c r="AO40" i="2"/>
  <c r="AO87" i="2"/>
  <c r="AO74" i="2"/>
  <c r="AO66" i="2"/>
  <c r="AO67" i="2"/>
  <c r="AO80" i="2"/>
  <c r="AO56" i="2"/>
  <c r="AO94" i="2"/>
  <c r="AO77" i="2"/>
  <c r="AI25" i="1"/>
  <c r="AI28" i="1"/>
  <c r="AI30" i="1"/>
  <c r="AO82" i="2"/>
  <c r="AO86" i="2"/>
  <c r="AO50" i="2"/>
  <c r="AO89" i="2"/>
  <c r="AO47" i="2"/>
  <c r="AO99" i="2"/>
  <c r="AO84" i="2"/>
  <c r="AO53" i="2"/>
  <c r="AO48" i="2"/>
  <c r="AO70" i="2"/>
  <c r="AM45" i="2"/>
  <c r="AE13" i="1" s="1"/>
  <c r="AO37" i="2"/>
  <c r="AO96" i="2"/>
  <c r="AO63" i="2"/>
  <c r="AO69" i="2"/>
  <c r="AO81" i="2"/>
  <c r="AI22" i="1"/>
  <c r="R19" i="1"/>
  <c r="AO38" i="2"/>
  <c r="AO78" i="2"/>
  <c r="AO46" i="2"/>
  <c r="AO93" i="2"/>
  <c r="AO101" i="2"/>
  <c r="AO71" i="2"/>
  <c r="AO62" i="2"/>
  <c r="AO59" i="2"/>
  <c r="AO72" i="2"/>
  <c r="AO54" i="2"/>
  <c r="AO95" i="2"/>
  <c r="AO85" i="2"/>
  <c r="AO58" i="2"/>
  <c r="AO45" i="2"/>
  <c r="AO55" i="2"/>
  <c r="AO39" i="2"/>
  <c r="AO49" i="2"/>
  <c r="G13" i="1"/>
  <c r="AH4" i="1" s="1"/>
  <c r="AI27" i="1"/>
  <c r="AO60" i="2"/>
  <c r="AO64" i="2"/>
  <c r="AO57" i="2"/>
  <c r="AO90" i="2"/>
  <c r="AO68" i="2"/>
  <c r="AO61" i="2"/>
  <c r="AO79" i="2"/>
  <c r="AO97" i="2"/>
  <c r="AO73" i="2"/>
  <c r="AO92" i="2"/>
  <c r="AO76" i="2"/>
  <c r="AO75" i="2"/>
  <c r="AO88" i="2"/>
  <c r="AO4" i="2"/>
  <c r="AE12" i="1" l="1"/>
  <c r="AD18" i="1" s="1"/>
  <c r="AD21" i="1" s="1"/>
  <c r="AI18" i="1" l="1"/>
  <c r="AI21" i="1" s="1"/>
  <c r="AH10" i="1"/>
</calcChain>
</file>

<file path=xl/comments1.xml><?xml version="1.0" encoding="utf-8"?>
<comments xmlns="http://schemas.openxmlformats.org/spreadsheetml/2006/main">
  <authors>
    <author>Anyu</author>
    <author>simon.janos</author>
    <author>Simon János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>A halvány zöld mezők kitöltésével készítheted el a karaktert.
A kaszt kiválasztásával a képességek értékei automatikusan kitöltésre lerülnek!
A faj kiválasztásával a faji módosítók hozáadódnak/levonódnak!
Ha plusz képességpontokat veszel, akkor csak írd át az adott képességnél a számot.</t>
        </r>
      </text>
    </comment>
    <comment ref="P3" authorId="0">
      <text>
        <r>
          <rPr>
            <b/>
            <sz val="9"/>
            <color indexed="81"/>
            <rFont val="Tahoma"/>
            <family val="2"/>
          </rPr>
          <t>Válaszd ki a kasztodat. Ha váltott, vagy iker kasztot szeretnél, akkor az elsőt ide írd (harcérték számításnál számít melyik kaszt volt előbb).</t>
        </r>
      </text>
    </comment>
    <comment ref="Y3" authorId="0">
      <text>
        <r>
          <rPr>
            <b/>
            <sz val="9"/>
            <color indexed="81"/>
            <rFont val="Tahoma"/>
            <family val="2"/>
          </rPr>
          <t>Írd be a kaszt szintjét. Váltott kaszt esetén az aktuális, tehát a három szinttel csökkentett értéket írd ide.</t>
        </r>
      </text>
    </comment>
    <comment ref="BM3" authorId="1">
      <text>
        <r>
          <rPr>
            <b/>
            <sz val="9"/>
            <color indexed="81"/>
            <rFont val="Tahoma"/>
            <family val="2"/>
            <charset val="238"/>
          </rPr>
          <t>A felszerelés ára ezüstben megadva.</t>
        </r>
      </text>
    </comment>
    <comment ref="P4" authorId="0">
      <text>
        <r>
          <rPr>
            <b/>
            <sz val="9"/>
            <color indexed="81"/>
            <rFont val="Tahoma"/>
            <family val="2"/>
          </rPr>
          <t>Amennyiben váltott, vagy iker kasztot szeretnél, ide írd be a másodiknak felvett kasztodat.</t>
        </r>
      </text>
    </comment>
    <comment ref="Y4" authorId="0">
      <text>
        <r>
          <rPr>
            <b/>
            <sz val="9"/>
            <color indexed="81"/>
            <rFont val="Tahoma"/>
            <family val="2"/>
          </rPr>
          <t>Írd be a kaszt szintjét.</t>
        </r>
      </text>
    </comment>
    <comment ref="P5" authorId="0">
      <text>
        <r>
          <rPr>
            <b/>
            <sz val="9"/>
            <color indexed="81"/>
            <rFont val="Tahoma"/>
            <family val="2"/>
          </rPr>
          <t>Válaszd ki a helyes értéket a listából.</t>
        </r>
      </text>
    </comment>
    <comment ref="X5" authorId="0">
      <text>
        <r>
          <rPr>
            <b/>
            <sz val="9"/>
            <color indexed="81"/>
            <rFont val="Tahoma"/>
            <family val="2"/>
          </rPr>
          <t>Válaszd ki a helyes választ a listából.</t>
        </r>
      </text>
    </comment>
    <comment ref="P6" authorId="0">
      <text>
        <r>
          <rPr>
            <b/>
            <sz val="9"/>
            <color indexed="81"/>
            <rFont val="Tahoma"/>
            <family val="2"/>
          </rPr>
          <t>Írd be, hogy a karaktered hanyadik szintű volt, amikor felvette a második kasztját.</t>
        </r>
      </text>
    </comment>
    <comment ref="X6" authorId="0">
      <text>
        <r>
          <rPr>
            <b/>
            <sz val="9"/>
            <color indexed="81"/>
            <rFont val="Tahoma"/>
            <family val="2"/>
          </rPr>
          <t>Válaszd ki a helyes választ a listából.</t>
        </r>
      </text>
    </comment>
    <comment ref="AH6" authorId="2">
      <text>
        <r>
          <rPr>
            <b/>
            <sz val="9"/>
            <color indexed="81"/>
            <rFont val="Tahoma"/>
            <family val="2"/>
            <charset val="238"/>
          </rPr>
          <t>Ide kell beírni azt a TP mennyiséget, amit pénzre költesz! 10 TP = 1 arany</t>
        </r>
      </text>
    </comment>
    <comment ref="V7" authorId="0">
      <text>
        <r>
          <rPr>
            <b/>
            <sz val="9"/>
            <color indexed="81"/>
            <rFont val="Tahoma"/>
            <family val="2"/>
          </rPr>
          <t>Válaszd ki a karakter faját a listából.</t>
        </r>
      </text>
    </comment>
    <comment ref="AH9" authorId="0">
      <text>
        <r>
          <rPr>
            <b/>
            <sz val="9"/>
            <color indexed="81"/>
            <rFont val="Tahoma"/>
            <family val="2"/>
            <charset val="238"/>
          </rPr>
          <t>Ide lehet beírni a bármilyen okból kapott bónusz Tp-t (mínusz előjellel), valamint ha valami másra is kellett külön Tp-t költeni, azt is itt kell feltüntetni.</t>
        </r>
      </text>
    </comment>
    <comment ref="AE11" authorId="0">
      <text>
        <r>
          <rPr>
            <b/>
            <sz val="9"/>
            <color indexed="81"/>
            <rFont val="Tahoma"/>
            <family val="2"/>
            <charset val="238"/>
          </rPr>
          <t>Amennyiben Kp-ból vetted, vagy fejlesztetted a Pszit, írd be a helyes iskolát.</t>
        </r>
      </text>
    </comment>
    <comment ref="AE12" authorId="0">
      <text>
        <r>
          <rPr>
            <b/>
            <sz val="9"/>
            <color indexed="81"/>
            <rFont val="Tahoma"/>
            <family val="2"/>
            <charset val="238"/>
          </rPr>
          <t>Ha Kp-ból vetted, vagy fejlesztetted a Pszit, akkor írd be a helyes pont mennyiséget.</t>
        </r>
      </text>
    </comment>
    <comment ref="S14" authorId="0">
      <text>
        <r>
          <rPr>
            <b/>
            <sz val="9"/>
            <color indexed="81"/>
            <rFont val="Tahoma"/>
            <family val="2"/>
            <charset val="238"/>
          </rPr>
          <t>Válaszd ki, hogy van-e nehézvértviselet Mf-ed</t>
        </r>
      </text>
    </comment>
    <comment ref="O18" authorId="1">
      <text>
        <r>
          <rPr>
            <b/>
            <sz val="9"/>
            <color indexed="81"/>
            <rFont val="Tahoma"/>
            <family val="2"/>
            <charset val="238"/>
          </rPr>
          <t>Legalább annyit írj be, mint a kötelező HM.</t>
        </r>
      </text>
    </comment>
    <comment ref="R18" authorId="1">
      <text>
        <r>
          <rPr>
            <b/>
            <sz val="9"/>
            <color indexed="81"/>
            <rFont val="Tahoma"/>
            <family val="2"/>
            <charset val="238"/>
          </rPr>
          <t>Legalább annyit írj be, mint a kötelező HM.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3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3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35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sharedStrings.xml><?xml version="1.0" encoding="utf-8"?>
<sst xmlns="http://schemas.openxmlformats.org/spreadsheetml/2006/main" count="406" uniqueCount="276">
  <si>
    <t>Játékos neve:</t>
  </si>
  <si>
    <t>Erő:</t>
  </si>
  <si>
    <t>Állóképesség:</t>
  </si>
  <si>
    <t>Gyorsaság:</t>
  </si>
  <si>
    <t>Ügyesség:</t>
  </si>
  <si>
    <t>Egészség:</t>
  </si>
  <si>
    <t>Szépség:</t>
  </si>
  <si>
    <t>Intelligencia:</t>
  </si>
  <si>
    <t>Akaraterő:</t>
  </si>
  <si>
    <t>Asztrál:</t>
  </si>
  <si>
    <t>Érzékelés:</t>
  </si>
  <si>
    <t>Tulajdonság átlag:</t>
  </si>
  <si>
    <t>Karakter neve:</t>
  </si>
  <si>
    <t>Faj:</t>
  </si>
  <si>
    <t>Jellem:</t>
  </si>
  <si>
    <t>Vallás:</t>
  </si>
  <si>
    <t>Szülőföld:</t>
  </si>
  <si>
    <t>Iskola:</t>
  </si>
  <si>
    <t>Kaszt (első):</t>
  </si>
  <si>
    <t>Kaszt (második):</t>
  </si>
  <si>
    <t>Felhasznált Tp mennyiség</t>
  </si>
  <si>
    <t>Pszi:</t>
  </si>
  <si>
    <t>Szint (első kaszt):</t>
  </si>
  <si>
    <t>Szint (második kaszt):</t>
  </si>
  <si>
    <t>Megmaradt Tp:</t>
  </si>
  <si>
    <t>Szint:</t>
  </si>
  <si>
    <t>Iker/váltott kaszt:</t>
  </si>
  <si>
    <t>Tulajdonság átlag</t>
  </si>
  <si>
    <t>Mágia:</t>
  </si>
  <si>
    <t>Eldöntendő legördülő</t>
  </si>
  <si>
    <t>Van</t>
  </si>
  <si>
    <t>Nincs</t>
  </si>
  <si>
    <t>Pszi Tp költség:</t>
  </si>
  <si>
    <t>Mágia Tp költség:</t>
  </si>
  <si>
    <t>Ember</t>
  </si>
  <si>
    <t>Félelf</t>
  </si>
  <si>
    <t>Wier</t>
  </si>
  <si>
    <t>Udvari ork</t>
  </si>
  <si>
    <t>Törpe</t>
  </si>
  <si>
    <t>Elf</t>
  </si>
  <si>
    <t>Iker/ váltott kaszt</t>
  </si>
  <si>
    <t>Iker kaszt</t>
  </si>
  <si>
    <t>Váltott kaszt</t>
  </si>
  <si>
    <t>Harcos</t>
  </si>
  <si>
    <t>Kaszt választás és szintjének Tp költsége</t>
  </si>
  <si>
    <t>Gladiátor</t>
  </si>
  <si>
    <t>Fejvadász</t>
  </si>
  <si>
    <t>Lovag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</si>
  <si>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</si>
  <si>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</si>
  <si>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</si>
  <si>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</si>
  <si>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</si>
  <si>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</si>
  <si>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</si>
  <si>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</si>
  <si>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</si>
  <si>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Tolvaj</t>
  </si>
  <si>
    <t>Bárd</t>
  </si>
  <si>
    <t>Pap</t>
  </si>
  <si>
    <t>Paplovag</t>
  </si>
  <si>
    <t>Harcművész</t>
  </si>
  <si>
    <t>Kardművész</t>
  </si>
  <si>
    <t>Boszorkány</t>
  </si>
  <si>
    <t>Boszorkánymester</t>
  </si>
  <si>
    <t>Tűzvarázsló</t>
  </si>
  <si>
    <t>Varázsló</t>
  </si>
  <si>
    <t>Váltás kezdete:</t>
  </si>
  <si>
    <t>Csapat neve:</t>
  </si>
  <si>
    <t>Felhasználható Tp:</t>
  </si>
  <si>
    <t>Egyéb kapott/költött:</t>
  </si>
  <si>
    <t>Nomád sámán</t>
  </si>
  <si>
    <t>KÉ</t>
  </si>
  <si>
    <t>TÉ</t>
  </si>
  <si>
    <t>VÉ</t>
  </si>
  <si>
    <t>CÉ</t>
  </si>
  <si>
    <t>HM</t>
  </si>
  <si>
    <t>Kp alap</t>
  </si>
  <si>
    <t>Kp/szint</t>
  </si>
  <si>
    <t>ÉP alap</t>
  </si>
  <si>
    <t>FP alap</t>
  </si>
  <si>
    <t>FP/ szint</t>
  </si>
  <si>
    <t>Pszi típusa</t>
  </si>
  <si>
    <t>K6 dobás mennyi?</t>
  </si>
  <si>
    <t>HMminTÉ</t>
  </si>
  <si>
    <t>HMminVÉ</t>
  </si>
  <si>
    <t>Mp</t>
  </si>
  <si>
    <t>Adron-pap</t>
  </si>
  <si>
    <t>Alborne-pap</t>
  </si>
  <si>
    <t>Antoh-pap</t>
  </si>
  <si>
    <t>Darton-pap</t>
  </si>
  <si>
    <t>Della-pap</t>
  </si>
  <si>
    <t>Dreina-pap</t>
  </si>
  <si>
    <t>Ellana-papnő</t>
  </si>
  <si>
    <t>Krad-pap</t>
  </si>
  <si>
    <t>Kyel-pap</t>
  </si>
  <si>
    <t>Noir-pap</t>
  </si>
  <si>
    <t>Orwella-Papnő (PE)</t>
  </si>
  <si>
    <t>Orwella-Papnő (ANH)</t>
  </si>
  <si>
    <t>Dzsah-pap</t>
  </si>
  <si>
    <t>Doldzsah-pap</t>
  </si>
  <si>
    <t>Galradzsa-pap</t>
  </si>
  <si>
    <t>Pszi iskola:</t>
  </si>
  <si>
    <t>Páncél:</t>
  </si>
  <si>
    <t>Anyaga:</t>
  </si>
  <si>
    <t>SFÉ:</t>
  </si>
  <si>
    <t>MGT:</t>
  </si>
  <si>
    <t>Mesterfokú nehézvértviselet:</t>
  </si>
  <si>
    <t>Pyarroni Af</t>
  </si>
  <si>
    <t>Pyarroni Mf</t>
  </si>
  <si>
    <t>Kezdő pont</t>
  </si>
  <si>
    <t>Pszi iskola</t>
  </si>
  <si>
    <t>Pszi pont:</t>
  </si>
  <si>
    <t>aktuális Pp</t>
  </si>
  <si>
    <t>Mana pont:</t>
  </si>
  <si>
    <t>nincs</t>
  </si>
  <si>
    <t>Ép:</t>
  </si>
  <si>
    <t>Fp:</t>
  </si>
  <si>
    <t>Kor:</t>
  </si>
  <si>
    <t>Magasság:</t>
  </si>
  <si>
    <t>Súly:</t>
  </si>
  <si>
    <t>Hajszín:</t>
  </si>
  <si>
    <t>Szemszín:</t>
  </si>
  <si>
    <t>Bőrszín:</t>
  </si>
  <si>
    <t>Asztrális</t>
  </si>
  <si>
    <t>Mentális</t>
  </si>
  <si>
    <t>TME:</t>
  </si>
  <si>
    <t>Statikus:</t>
  </si>
  <si>
    <t>Dinam.:</t>
  </si>
  <si>
    <t>Egyéb:</t>
  </si>
  <si>
    <t>Teljes:</t>
  </si>
  <si>
    <t>Melyik kaszt számít:</t>
  </si>
  <si>
    <t>Sebzés</t>
  </si>
  <si>
    <t>Fegy. hasz Mf</t>
  </si>
  <si>
    <t>HM elosztása</t>
  </si>
  <si>
    <t>Fegyver nélkül</t>
  </si>
  <si>
    <t>HM(kötelező):</t>
  </si>
  <si>
    <t>Alap értékek</t>
  </si>
  <si>
    <t>Elkölthető Kézettségpont:</t>
  </si>
  <si>
    <t>Mód.</t>
  </si>
  <si>
    <t>Ennyi Kp átalakítása % -ra:</t>
  </si>
  <si>
    <t>Elkölthető százalék:</t>
  </si>
  <si>
    <t>%/szint</t>
  </si>
  <si>
    <t>Mászás</t>
  </si>
  <si>
    <t>Esés</t>
  </si>
  <si>
    <t>Ugrás</t>
  </si>
  <si>
    <t>Lopózás</t>
  </si>
  <si>
    <t>Rejtőzködés</t>
  </si>
  <si>
    <t>Kötéltánc</t>
  </si>
  <si>
    <t>Zsebmetszés</t>
  </si>
  <si>
    <t>Csapdafelfedezés</t>
  </si>
  <si>
    <t>Zárnyitás</t>
  </si>
  <si>
    <t>Titkosajtó keresés</t>
  </si>
  <si>
    <t>Alvilági képzettségek</t>
  </si>
  <si>
    <t>Kp</t>
  </si>
  <si>
    <t>Fok</t>
  </si>
  <si>
    <t>Harci képzettségek</t>
  </si>
  <si>
    <t>Tudományos képz.</t>
  </si>
  <si>
    <t>Világi képzettségek</t>
  </si>
  <si>
    <t>Slan-út</t>
  </si>
  <si>
    <t>Kyr metódus</t>
  </si>
  <si>
    <t>13+</t>
  </si>
  <si>
    <t>Iker Tp</t>
  </si>
  <si>
    <t>1 Tp ennyi ezüst:</t>
  </si>
  <si>
    <t>Rendelkezésre áll ezüstben:</t>
  </si>
  <si>
    <t>Tárolóhely</t>
  </si>
  <si>
    <t>Ár (e)</t>
  </si>
  <si>
    <t>Felszerelés megnevezése</t>
  </si>
  <si>
    <t>Jegyzet, ábra, rajz, stb</t>
  </si>
  <si>
    <t>Tharr-pap Quessor</t>
  </si>
  <si>
    <t>Tharr-pap Sanquinator</t>
  </si>
  <si>
    <t>Tharr-pap Khótorr</t>
  </si>
  <si>
    <t>Sogron-pap Lángvihar</t>
  </si>
  <si>
    <t>Sogron-pap Őst.urai</t>
  </si>
  <si>
    <t>Morgena-pap</t>
  </si>
  <si>
    <t>Domvik-pap</t>
  </si>
  <si>
    <t>Ranil-pap</t>
  </si>
  <si>
    <t>Ranagol-pap</t>
  </si>
  <si>
    <t>Sámán-pap Leutaril</t>
  </si>
  <si>
    <t>Sámán-pap Ramkir</t>
  </si>
  <si>
    <t>Sámán-pap Tomatis</t>
  </si>
  <si>
    <t>Darton-paplovag</t>
  </si>
  <si>
    <t>Dreina-paplovag</t>
  </si>
  <si>
    <t>Gilron-pap Mérnök</t>
  </si>
  <si>
    <t>Gilron-pap Segéd</t>
  </si>
  <si>
    <t>Krad-paplovag</t>
  </si>
  <si>
    <t>Orwella-paplovag</t>
  </si>
  <si>
    <t>Uwel-paplovag</t>
  </si>
  <si>
    <t>Domvik bosz.vadász</t>
  </si>
  <si>
    <t>Domvik-paplovag</t>
  </si>
  <si>
    <t>Dervis</t>
  </si>
  <si>
    <t>Ranil-paplovag</t>
  </si>
  <si>
    <t>Ranagol-paplovag</t>
  </si>
  <si>
    <t>Amazon</t>
  </si>
  <si>
    <t>Bajvívó</t>
  </si>
  <si>
    <t>Barbár</t>
  </si>
  <si>
    <t>Abasziszi Falanxharcos</t>
  </si>
  <si>
    <t>Dwoon Vértes-gyalogos</t>
  </si>
  <si>
    <t>Dwoon Fehér-lovas</t>
  </si>
  <si>
    <t>Ereni Kékköpenyes</t>
  </si>
  <si>
    <t>Erigowi Talpas</t>
  </si>
  <si>
    <t>Erigowi Szabad Lovas</t>
  </si>
  <si>
    <t>Erigowi Íjász</t>
  </si>
  <si>
    <t>Gianagi Alabárdos</t>
  </si>
  <si>
    <t>Haonwell Alborne Csill.</t>
  </si>
  <si>
    <t>Haonwell Nerton</t>
  </si>
  <si>
    <t>Ilanori Vágtató</t>
  </si>
  <si>
    <t>Sirenari Erdőjáró</t>
  </si>
  <si>
    <t>Törpe Harcos</t>
  </si>
  <si>
    <t>Tiadlani Kardmester</t>
  </si>
  <si>
    <t>Toroni Ezüstkard Bajnok</t>
  </si>
  <si>
    <t>Toroni Elitharcos</t>
  </si>
  <si>
    <t>Predoci Vértes</t>
  </si>
  <si>
    <t>Edorli Gyalogos</t>
  </si>
  <si>
    <t>Harcos-tengerészek</t>
  </si>
  <si>
    <t>Praedarmo Lobogói</t>
  </si>
  <si>
    <t>Syburri Vértesgyalogos</t>
  </si>
  <si>
    <t>Nasti könnyűlovas</t>
  </si>
  <si>
    <t>Ordani lángőr</t>
  </si>
  <si>
    <t>Hadzsi</t>
  </si>
  <si>
    <t>Bahrada</t>
  </si>
  <si>
    <t>Birodalmi zsoldosok</t>
  </si>
  <si>
    <t>Gorvik Szabad harcos</t>
  </si>
  <si>
    <t>Gorvik Tengeri vadász</t>
  </si>
  <si>
    <t>Kráni Szabados</t>
  </si>
  <si>
    <t>Yllinori Sólyom</t>
  </si>
  <si>
    <t>Yllinori Kopjás Farkas</t>
  </si>
  <si>
    <t>Yllinori Vaslovas</t>
  </si>
  <si>
    <t>Yllinori Medve</t>
  </si>
  <si>
    <t>Yllinori Sas</t>
  </si>
  <si>
    <t>Egyedi</t>
  </si>
  <si>
    <t>Szerzetes</t>
  </si>
  <si>
    <t>Pusztító Tűz Útja</t>
  </si>
  <si>
    <t>Sorgon Útja</t>
  </si>
  <si>
    <t>Főnix</t>
  </si>
  <si>
    <t>Rackla-lovas</t>
  </si>
  <si>
    <t>Tűz Tápláló</t>
  </si>
  <si>
    <t>Tám/kör</t>
  </si>
  <si>
    <t>Váltott kaszt esetén a második kaszt ennyi szintje - a harcértékben - nem számít:</t>
  </si>
  <si>
    <t>Khál</t>
  </si>
  <si>
    <t>erő</t>
  </si>
  <si>
    <t>gyorsaság</t>
  </si>
  <si>
    <t>ügyesség</t>
  </si>
  <si>
    <t>állóképesség</t>
  </si>
  <si>
    <t>egészség</t>
  </si>
  <si>
    <t>szépség</t>
  </si>
  <si>
    <t>intelligencia</t>
  </si>
  <si>
    <t>akaraterő</t>
  </si>
  <si>
    <t>asztrál</t>
  </si>
  <si>
    <t>érzékelés</t>
  </si>
  <si>
    <t>Tulajdonság költsége:</t>
  </si>
  <si>
    <t>Összes eltérés</t>
  </si>
  <si>
    <t>Választható fajok</t>
  </si>
  <si>
    <t>Tp költség</t>
  </si>
  <si>
    <t>Faji módosítók</t>
  </si>
  <si>
    <t>Pénzre váltás:</t>
  </si>
  <si>
    <t>Plusz képesség költség:</t>
  </si>
  <si>
    <t>Kf többlet költség:</t>
  </si>
  <si>
    <t>KF többlet</t>
  </si>
  <si>
    <t>Dzsenn</t>
  </si>
  <si>
    <t>Amund (alap)</t>
  </si>
  <si>
    <t>Amund (spec)</t>
  </si>
  <si>
    <t>3k6-1</t>
  </si>
  <si>
    <t>3k6</t>
  </si>
  <si>
    <t>3k6(2x)</t>
  </si>
  <si>
    <t>k10+6</t>
  </si>
  <si>
    <t>2k6+6</t>
  </si>
  <si>
    <t>k10+8</t>
  </si>
  <si>
    <t>k10+8(2x)</t>
  </si>
  <si>
    <t>k6+12</t>
  </si>
  <si>
    <t>k10+10</t>
  </si>
  <si>
    <t>k6+14</t>
  </si>
  <si>
    <t>Dobáskódok értéke</t>
  </si>
  <si>
    <t>Arel-pap Sólyomszív</t>
  </si>
  <si>
    <t>Arel-pap Sólyomcsőr</t>
  </si>
  <si>
    <t>Arel-pap Sólyomkarom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</si>
</sst>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6" tint="0.7999816888943144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65">
    <xf numFmtId="0" fontId="0" fillId="0" borderId="0" xfId="0"/>
    <xf numFmtId="0" fontId="0" fillId="0" borderId="0" xfId="0" applyBorder="1"/>
    <xf numFmtId="0" fontId="0" fillId="0" borderId="9" xfId="0" applyBorder="1"/>
    <xf numFmtId="0" fontId="1" fillId="0" borderId="7" xfId="0" applyFont="1" applyBorder="1"/>
    <xf numFmtId="0" fontId="0" fillId="0" borderId="8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4" borderId="0" xfId="0" applyFill="1"/>
    <xf numFmtId="0" fontId="0" fillId="0" borderId="0" xfId="0" applyFill="1"/>
    <xf numFmtId="1" fontId="0" fillId="0" borderId="0" xfId="0" applyNumberFormat="1" applyFill="1"/>
    <xf numFmtId="0" fontId="0" fillId="0" borderId="6" xfId="0" applyFill="1" applyBorder="1"/>
    <xf numFmtId="0" fontId="0" fillId="2" borderId="1" xfId="0" applyFill="1" applyBorder="1" applyAlignment="1"/>
    <xf numFmtId="0" fontId="0" fillId="3" borderId="24" xfId="0" applyFill="1" applyBorder="1" applyAlignment="1"/>
    <xf numFmtId="0" fontId="0" fillId="3" borderId="25" xfId="0" applyFill="1" applyBorder="1"/>
    <xf numFmtId="0" fontId="9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" borderId="2" xfId="0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4" fillId="2" borderId="24" xfId="0" applyFont="1" applyFill="1" applyBorder="1"/>
    <xf numFmtId="0" fontId="4" fillId="2" borderId="24" xfId="0" applyFont="1" applyFill="1" applyBorder="1" applyAlignment="1">
      <alignment vertic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4" fillId="0" borderId="1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Fill="1" applyBorder="1"/>
    <xf numFmtId="0" fontId="0" fillId="0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57" xfId="0" applyBorder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61" xfId="0" applyFont="1" applyBorder="1"/>
    <xf numFmtId="0" fontId="11" fillId="0" borderId="29" xfId="0" applyFont="1" applyBorder="1"/>
    <xf numFmtId="0" fontId="0" fillId="0" borderId="29" xfId="0" applyBorder="1"/>
    <xf numFmtId="0" fontId="0" fillId="0" borderId="43" xfId="0" applyBorder="1"/>
    <xf numFmtId="0" fontId="0" fillId="0" borderId="54" xfId="0" applyBorder="1"/>
    <xf numFmtId="0" fontId="11" fillId="0" borderId="40" xfId="0" applyFont="1" applyBorder="1" applyAlignment="1">
      <alignment horizontal="center"/>
    </xf>
    <xf numFmtId="0" fontId="0" fillId="0" borderId="40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11" fillId="0" borderId="7" xfId="0" applyFont="1" applyBorder="1" applyAlignment="1"/>
    <xf numFmtId="0" fontId="0" fillId="0" borderId="5" xfId="0" applyBorder="1" applyAlignment="1"/>
    <xf numFmtId="0" fontId="0" fillId="0" borderId="8" xfId="0" applyBorder="1" applyAlignment="1"/>
    <xf numFmtId="0" fontId="1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0" fillId="2" borderId="26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4" xfId="0" quotePrefix="1" applyFill="1" applyBorder="1" applyAlignment="1">
      <alignment horizontal="center"/>
    </xf>
    <xf numFmtId="0" fontId="0" fillId="2" borderId="15" xfId="0" quotePrefix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36" xfId="0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1" fontId="0" fillId="3" borderId="39" xfId="0" applyNumberForma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3" borderId="22" xfId="0" applyFill="1" applyBorder="1" applyAlignment="1">
      <alignment horizontal="center"/>
    </xf>
    <xf numFmtId="0" fontId="0" fillId="2" borderId="5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4" fillId="2" borderId="4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2" borderId="31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0" fillId="2" borderId="17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29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/>
    </xf>
    <xf numFmtId="0" fontId="6" fillId="2" borderId="2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0" fillId="2" borderId="53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2" borderId="22" xfId="0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ál" xfId="0" builtinId="0"/>
  </cellStyles>
  <dxfs count="6">
    <dxf>
      <fill>
        <patternFill>
          <bgColor rgb="FFFF3B3B"/>
        </patternFill>
      </fill>
    </dxf>
    <dxf>
      <fill>
        <patternFill>
          <bgColor rgb="FFFF3B3B"/>
        </patternFill>
      </fill>
    </dxf>
    <dxf>
      <fill>
        <patternFill>
          <bgColor rgb="FFFF3B3B"/>
        </patternFill>
      </fill>
    </dxf>
    <dxf>
      <fill>
        <patternFill>
          <bgColor rgb="FFFF3B3B"/>
        </patternFill>
      </fill>
    </dxf>
    <dxf>
      <fill>
        <patternFill>
          <bgColor rgb="FFFF3B3B"/>
        </patternFill>
      </fill>
    </dxf>
    <dxf>
      <fill>
        <patternFill>
          <bgColor rgb="FFFF3B3B"/>
        </patternFill>
      </fill>
    </dxf>
  </dxfs>
  <tableStyles count="0" defaultTableStyle="TableStyleMedium2" defaultPivotStyle="PivotStyleLight16"/>
  <colors>
    <mruColors>
      <color rgb="FFFF3B3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I20" lockText="1" noThreeD="1"/>
</file>

<file path=xl/ctrlProps/ctrlProp10.xml><?xml version="1.0" encoding="utf-8"?>
<formControlPr xmlns="http://schemas.microsoft.com/office/spreadsheetml/2009/9/main" objectType="CheckBox" fmlaLink="I29" lockText="1" noThreeD="1"/>
</file>

<file path=xl/ctrlProps/ctrlProp2.xml><?xml version="1.0" encoding="utf-8"?>
<formControlPr xmlns="http://schemas.microsoft.com/office/spreadsheetml/2009/9/main" objectType="CheckBox" fmlaLink="I21" lockText="1" noThreeD="1"/>
</file>

<file path=xl/ctrlProps/ctrlProp3.xml><?xml version="1.0" encoding="utf-8"?>
<formControlPr xmlns="http://schemas.microsoft.com/office/spreadsheetml/2009/9/main" objectType="CheckBox" fmlaLink="I22" lockText="1" noThreeD="1"/>
</file>

<file path=xl/ctrlProps/ctrlProp4.xml><?xml version="1.0" encoding="utf-8"?>
<formControlPr xmlns="http://schemas.microsoft.com/office/spreadsheetml/2009/9/main" objectType="CheckBox" fmlaLink="I23" lockText="1" noThreeD="1"/>
</file>

<file path=xl/ctrlProps/ctrlProp5.xml><?xml version="1.0" encoding="utf-8"?>
<formControlPr xmlns="http://schemas.microsoft.com/office/spreadsheetml/2009/9/main" objectType="CheckBox" fmlaLink="I24" lockText="1" noThreeD="1"/>
</file>

<file path=xl/ctrlProps/ctrlProp6.xml><?xml version="1.0" encoding="utf-8"?>
<formControlPr xmlns="http://schemas.microsoft.com/office/spreadsheetml/2009/9/main" objectType="CheckBox" fmlaLink="I25" lockText="1" noThreeD="1"/>
</file>

<file path=xl/ctrlProps/ctrlProp7.xml><?xml version="1.0" encoding="utf-8"?>
<formControlPr xmlns="http://schemas.microsoft.com/office/spreadsheetml/2009/9/main" objectType="CheckBox" fmlaLink="I26" lockText="1" noThreeD="1"/>
</file>

<file path=xl/ctrlProps/ctrlProp8.xml><?xml version="1.0" encoding="utf-8"?>
<formControlPr xmlns="http://schemas.microsoft.com/office/spreadsheetml/2009/9/main" objectType="CheckBox" fmlaLink="I27" lockText="1" noThreeD="1"/>
</file>

<file path=xl/ctrlProps/ctrlProp9.xml><?xml version="1.0" encoding="utf-8"?>
<formControlPr xmlns="http://schemas.microsoft.com/office/spreadsheetml/2009/9/main" objectType="CheckBox" fmlaLink="I2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19</xdr:row>
          <xdr:rowOff>0</xdr:rowOff>
        </xdr:from>
        <xdr:to>
          <xdr:col>10</xdr:col>
          <xdr:colOff>85725</xdr:colOff>
          <xdr:row>20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20</xdr:row>
          <xdr:rowOff>0</xdr:rowOff>
        </xdr:from>
        <xdr:to>
          <xdr:col>10</xdr:col>
          <xdr:colOff>85725</xdr:colOff>
          <xdr:row>21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20</xdr:row>
          <xdr:rowOff>190500</xdr:rowOff>
        </xdr:from>
        <xdr:to>
          <xdr:col>10</xdr:col>
          <xdr:colOff>85725</xdr:colOff>
          <xdr:row>22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22</xdr:row>
          <xdr:rowOff>0</xdr:rowOff>
        </xdr:from>
        <xdr:to>
          <xdr:col>10</xdr:col>
          <xdr:colOff>85725</xdr:colOff>
          <xdr:row>23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23</xdr:row>
          <xdr:rowOff>0</xdr:rowOff>
        </xdr:from>
        <xdr:to>
          <xdr:col>10</xdr:col>
          <xdr:colOff>85725</xdr:colOff>
          <xdr:row>24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24</xdr:row>
          <xdr:rowOff>0</xdr:rowOff>
        </xdr:from>
        <xdr:to>
          <xdr:col>10</xdr:col>
          <xdr:colOff>85725</xdr:colOff>
          <xdr:row>25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25</xdr:row>
          <xdr:rowOff>0</xdr:rowOff>
        </xdr:from>
        <xdr:to>
          <xdr:col>10</xdr:col>
          <xdr:colOff>85725</xdr:colOff>
          <xdr:row>26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26</xdr:row>
          <xdr:rowOff>0</xdr:rowOff>
        </xdr:from>
        <xdr:to>
          <xdr:col>10</xdr:col>
          <xdr:colOff>85725</xdr:colOff>
          <xdr:row>27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27</xdr:row>
          <xdr:rowOff>0</xdr:rowOff>
        </xdr:from>
        <xdr:to>
          <xdr:col>10</xdr:col>
          <xdr:colOff>85725</xdr:colOff>
          <xdr:row>28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28</xdr:row>
          <xdr:rowOff>0</xdr:rowOff>
        </xdr:from>
        <xdr:to>
          <xdr:col>10</xdr:col>
          <xdr:colOff>85725</xdr:colOff>
          <xdr:row>29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46"/>
  <sheetViews>
    <sheetView tabSelected="1" view="pageLayout" zoomScaleNormal="120" workbookViewId="0">
      <selection activeCell="P9" sqref="P9:Z9"/>
    </sheetView>
  </sheetViews>
  <sheetFormatPr defaultColWidth="2.7109375" defaultRowHeight="15" x14ac:dyDescent="0.25"/>
  <cols>
    <col min="6" max="6" width="4" customWidth="1"/>
    <col min="7" max="7" width="2.7109375" customWidth="1"/>
    <col min="8" max="8" width="2.5703125" customWidth="1"/>
    <col min="9" max="9" width="1.85546875" customWidth="1"/>
    <col min="15" max="15" width="2.85546875" customWidth="1"/>
    <col min="16" max="16" width="2.85546875" bestFit="1" customWidth="1"/>
    <col min="17" max="17" width="3.28515625" customWidth="1"/>
    <col min="18" max="18" width="3" customWidth="1"/>
    <col min="20" max="20" width="3.140625" customWidth="1"/>
    <col min="21" max="21" width="3.42578125" customWidth="1"/>
    <col min="22" max="22" width="2.42578125" customWidth="1"/>
    <col min="23" max="23" width="3" customWidth="1"/>
    <col min="24" max="24" width="2.85546875" bestFit="1" customWidth="1"/>
    <col min="26" max="26" width="3.28515625" bestFit="1" customWidth="1"/>
    <col min="33" max="33" width="3" customWidth="1"/>
    <col min="34" max="34" width="2.85546875" bestFit="1" customWidth="1"/>
    <col min="35" max="36" width="2.28515625" customWidth="1"/>
    <col min="39" max="39" width="2.7109375" customWidth="1"/>
    <col min="71" max="71" width="1.85546875" customWidth="1"/>
  </cols>
  <sheetData>
    <row r="1" spans="1:73" ht="15.75" thickBot="1" x14ac:dyDescent="0.3">
      <c r="A1" s="81" t="s">
        <v>0</v>
      </c>
      <c r="B1" s="82"/>
      <c r="C1" s="82"/>
      <c r="D1" s="82"/>
      <c r="E1" s="82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2" t="s">
        <v>68</v>
      </c>
      <c r="U1" s="82"/>
      <c r="V1" s="82"/>
      <c r="W1" s="82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4"/>
      <c r="AK1" s="76" t="s">
        <v>164</v>
      </c>
      <c r="AL1" s="77"/>
      <c r="AM1" s="77"/>
      <c r="AN1" s="77"/>
      <c r="AO1" s="77"/>
      <c r="AP1" s="77"/>
      <c r="AQ1" s="77"/>
      <c r="AR1" s="77"/>
      <c r="AS1" s="78"/>
      <c r="AT1" s="233" t="str">
        <f>Y3*10+(AH6)-SUM(BM4:BN46)&amp;" (legfeljebb "&amp;Y3*10&amp;" ezüstöd lehet a kaland kezdetekor)"</f>
        <v>0 (legfeljebb 0 ezüstöd lehet a kaland kezdetekor)</v>
      </c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5"/>
    </row>
    <row r="2" spans="1:73" ht="15.75" thickBot="1" x14ac:dyDescent="0.3">
      <c r="A2" s="76"/>
      <c r="B2" s="77"/>
      <c r="C2" s="77"/>
      <c r="D2" s="77"/>
      <c r="E2" s="77"/>
      <c r="F2" s="78"/>
      <c r="G2" s="74" t="s">
        <v>139</v>
      </c>
      <c r="H2" s="75"/>
      <c r="I2" s="60" t="s">
        <v>12</v>
      </c>
      <c r="J2" s="61"/>
      <c r="K2" s="61"/>
      <c r="L2" s="61"/>
      <c r="M2" s="61"/>
      <c r="N2" s="61"/>
      <c r="O2" s="61"/>
      <c r="P2" s="64"/>
      <c r="Q2" s="64"/>
      <c r="R2" s="64"/>
      <c r="S2" s="64"/>
      <c r="T2" s="64"/>
      <c r="U2" s="64"/>
      <c r="V2" s="64"/>
      <c r="W2" s="64"/>
      <c r="X2" s="64"/>
      <c r="Y2" s="64"/>
      <c r="Z2" s="91"/>
      <c r="AA2" s="76" t="s">
        <v>20</v>
      </c>
      <c r="AB2" s="77"/>
      <c r="AC2" s="77"/>
      <c r="AD2" s="77"/>
      <c r="AE2" s="77"/>
      <c r="AF2" s="77"/>
      <c r="AG2" s="77"/>
      <c r="AH2" s="77"/>
      <c r="AI2" s="77"/>
      <c r="AJ2" s="80"/>
      <c r="AK2" s="236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8"/>
    </row>
    <row r="3" spans="1:73" x14ac:dyDescent="0.25">
      <c r="A3" s="72" t="s">
        <v>1</v>
      </c>
      <c r="B3" s="73"/>
      <c r="C3" s="73"/>
      <c r="D3" s="73"/>
      <c r="E3" s="73"/>
      <c r="F3" s="19" t="str">
        <f>IFERROR(VLOOKUP(P3,Adattábla!L:BK,43,FALSE),"")</f>
        <v/>
      </c>
      <c r="G3" s="66"/>
      <c r="H3" s="67"/>
      <c r="I3" s="62" t="s">
        <v>18</v>
      </c>
      <c r="J3" s="58"/>
      <c r="K3" s="58"/>
      <c r="L3" s="58"/>
      <c r="M3" s="58"/>
      <c r="N3" s="58"/>
      <c r="O3" s="58"/>
      <c r="P3" s="85"/>
      <c r="Q3" s="86"/>
      <c r="R3" s="86"/>
      <c r="S3" s="86"/>
      <c r="T3" s="86"/>
      <c r="U3" s="87"/>
      <c r="V3" s="58" t="s">
        <v>25</v>
      </c>
      <c r="W3" s="58"/>
      <c r="X3" s="58"/>
      <c r="Y3" s="86"/>
      <c r="Z3" s="94"/>
      <c r="AA3" s="72" t="s">
        <v>13</v>
      </c>
      <c r="AB3" s="73"/>
      <c r="AC3" s="73"/>
      <c r="AD3" s="73"/>
      <c r="AE3" s="73"/>
      <c r="AF3" s="73"/>
      <c r="AG3" s="73"/>
      <c r="AH3" s="92">
        <f>IF(V7="",0,VLOOKUP(V7,Adattábla!A24:B37,2,FALSE))</f>
        <v>0</v>
      </c>
      <c r="AI3" s="92"/>
      <c r="AJ3" s="93"/>
      <c r="AK3" s="60" t="s">
        <v>168</v>
      </c>
      <c r="AL3" s="61"/>
      <c r="AM3" s="61"/>
      <c r="AN3" s="61"/>
      <c r="AO3" s="61"/>
      <c r="AP3" s="61"/>
      <c r="AQ3" s="61"/>
      <c r="AR3" s="61"/>
      <c r="AS3" s="61"/>
      <c r="AT3" s="61"/>
      <c r="AU3" s="239"/>
      <c r="AV3" s="60" t="s">
        <v>167</v>
      </c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 t="s">
        <v>166</v>
      </c>
      <c r="BN3" s="61"/>
      <c r="BO3" s="61" t="s">
        <v>165</v>
      </c>
      <c r="BP3" s="61"/>
      <c r="BQ3" s="61"/>
      <c r="BR3" s="61"/>
      <c r="BS3" s="61"/>
      <c r="BT3" s="61"/>
      <c r="BU3" s="239"/>
    </row>
    <row r="4" spans="1:73" x14ac:dyDescent="0.25">
      <c r="A4" s="72" t="s">
        <v>2</v>
      </c>
      <c r="B4" s="73"/>
      <c r="C4" s="73"/>
      <c r="D4" s="73"/>
      <c r="E4" s="73"/>
      <c r="F4" s="19" t="str">
        <f>IFERROR(VLOOKUP(P3,Adattábla!L:BK,44,FALSE),"")</f>
        <v/>
      </c>
      <c r="G4" s="66"/>
      <c r="H4" s="67"/>
      <c r="I4" s="62" t="s">
        <v>19</v>
      </c>
      <c r="J4" s="58"/>
      <c r="K4" s="58"/>
      <c r="L4" s="58"/>
      <c r="M4" s="58"/>
      <c r="N4" s="58"/>
      <c r="O4" s="58"/>
      <c r="P4" s="90"/>
      <c r="Q4" s="88"/>
      <c r="R4" s="88"/>
      <c r="S4" s="88"/>
      <c r="T4" s="88"/>
      <c r="U4" s="63"/>
      <c r="V4" s="58" t="s">
        <v>25</v>
      </c>
      <c r="W4" s="58"/>
      <c r="X4" s="58"/>
      <c r="Y4" s="88"/>
      <c r="Z4" s="89"/>
      <c r="AA4" s="72" t="s">
        <v>250</v>
      </c>
      <c r="AB4" s="73"/>
      <c r="AC4" s="73"/>
      <c r="AD4" s="73"/>
      <c r="AE4" s="73"/>
      <c r="AF4" s="73"/>
      <c r="AG4" s="73"/>
      <c r="AH4" s="92">
        <f>IFERROR(IF(G13="",0,VLOOKUP(P3,Adattábla!L:BL,53,FALSE)*Adattábla!J17+VLOOKUP(P3,Adattábla!L:BM,54,FALSE)*Adattábla!J18),0)</f>
        <v>0</v>
      </c>
      <c r="AI4" s="92"/>
      <c r="AJ4" s="93"/>
      <c r="AK4" s="243"/>
      <c r="AL4" s="244"/>
      <c r="AM4" s="244"/>
      <c r="AN4" s="244"/>
      <c r="AO4" s="244"/>
      <c r="AP4" s="244"/>
      <c r="AQ4" s="244"/>
      <c r="AR4" s="244"/>
      <c r="AS4" s="244"/>
      <c r="AT4" s="244"/>
      <c r="AU4" s="245"/>
      <c r="AV4" s="230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2"/>
      <c r="BM4" s="67"/>
      <c r="BN4" s="232"/>
      <c r="BO4" s="67"/>
      <c r="BP4" s="231"/>
      <c r="BQ4" s="231"/>
      <c r="BR4" s="231"/>
      <c r="BS4" s="231"/>
      <c r="BT4" s="231"/>
      <c r="BU4" s="240"/>
    </row>
    <row r="5" spans="1:73" x14ac:dyDescent="0.25">
      <c r="A5" s="72" t="s">
        <v>3</v>
      </c>
      <c r="B5" s="73"/>
      <c r="C5" s="73"/>
      <c r="D5" s="73"/>
      <c r="E5" s="73"/>
      <c r="F5" s="19" t="str">
        <f>IFERROR(VLOOKUP(P3,Adattábla!L:BK,45,FALSE),"")</f>
        <v/>
      </c>
      <c r="G5" s="66" t="str">
        <f>IF(S14="Nincs",F5-Z13,"")</f>
        <v/>
      </c>
      <c r="H5" s="67"/>
      <c r="I5" s="62" t="s">
        <v>26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 t="s">
        <v>21</v>
      </c>
      <c r="V5" s="58"/>
      <c r="W5" s="58"/>
      <c r="X5" s="65"/>
      <c r="Y5" s="65"/>
      <c r="Z5" s="122"/>
      <c r="AA5" s="72"/>
      <c r="AB5" s="73"/>
      <c r="AC5" s="73"/>
      <c r="AD5" s="73"/>
      <c r="AE5" s="73"/>
      <c r="AF5" s="73"/>
      <c r="AG5" s="73"/>
      <c r="AH5" s="92"/>
      <c r="AI5" s="92"/>
      <c r="AJ5" s="93"/>
      <c r="AK5" s="246"/>
      <c r="AL5" s="247"/>
      <c r="AM5" s="247"/>
      <c r="AN5" s="247"/>
      <c r="AO5" s="247"/>
      <c r="AP5" s="247"/>
      <c r="AQ5" s="247"/>
      <c r="AR5" s="247"/>
      <c r="AS5" s="247"/>
      <c r="AT5" s="247"/>
      <c r="AU5" s="248"/>
      <c r="AV5" s="230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2"/>
      <c r="BM5" s="67"/>
      <c r="BN5" s="232"/>
      <c r="BO5" s="67"/>
      <c r="BP5" s="231"/>
      <c r="BQ5" s="231"/>
      <c r="BR5" s="231"/>
      <c r="BS5" s="231"/>
      <c r="BT5" s="231"/>
      <c r="BU5" s="240"/>
    </row>
    <row r="6" spans="1:73" x14ac:dyDescent="0.25">
      <c r="A6" s="72" t="s">
        <v>4</v>
      </c>
      <c r="B6" s="73"/>
      <c r="C6" s="73"/>
      <c r="D6" s="73"/>
      <c r="E6" s="73"/>
      <c r="F6" s="19" t="str">
        <f>IFERROR(VLOOKUP(P3,Adattábla!L:BK,46,FALSE),"")</f>
        <v/>
      </c>
      <c r="G6" s="66" t="str">
        <f>IF(S14="Nincs",F6-Z13,"")</f>
        <v/>
      </c>
      <c r="H6" s="67"/>
      <c r="I6" s="62" t="s">
        <v>67</v>
      </c>
      <c r="J6" s="58"/>
      <c r="K6" s="58"/>
      <c r="L6" s="58"/>
      <c r="M6" s="58"/>
      <c r="N6" s="58"/>
      <c r="O6" s="58"/>
      <c r="P6" s="90"/>
      <c r="Q6" s="88"/>
      <c r="R6" s="88"/>
      <c r="S6" s="88"/>
      <c r="T6" s="63"/>
      <c r="U6" s="58" t="s">
        <v>28</v>
      </c>
      <c r="V6" s="58"/>
      <c r="W6" s="58"/>
      <c r="X6" s="65"/>
      <c r="Y6" s="65"/>
      <c r="Z6" s="122"/>
      <c r="AA6" s="72" t="s">
        <v>255</v>
      </c>
      <c r="AB6" s="73"/>
      <c r="AC6" s="73"/>
      <c r="AD6" s="73"/>
      <c r="AE6" s="73"/>
      <c r="AF6" s="73"/>
      <c r="AG6" s="73"/>
      <c r="AH6" s="120"/>
      <c r="AI6" s="120"/>
      <c r="AJ6" s="121"/>
      <c r="AK6" s="246"/>
      <c r="AL6" s="247"/>
      <c r="AM6" s="247"/>
      <c r="AN6" s="247"/>
      <c r="AO6" s="247"/>
      <c r="AP6" s="247"/>
      <c r="AQ6" s="247"/>
      <c r="AR6" s="247"/>
      <c r="AS6" s="247"/>
      <c r="AT6" s="247"/>
      <c r="AU6" s="248"/>
      <c r="AV6" s="230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2"/>
      <c r="BM6" s="67"/>
      <c r="BN6" s="232"/>
      <c r="BO6" s="67"/>
      <c r="BP6" s="231"/>
      <c r="BQ6" s="231"/>
      <c r="BR6" s="231"/>
      <c r="BS6" s="231"/>
      <c r="BT6" s="231"/>
      <c r="BU6" s="240"/>
    </row>
    <row r="7" spans="1:73" x14ac:dyDescent="0.25">
      <c r="A7" s="72" t="s">
        <v>5</v>
      </c>
      <c r="B7" s="73"/>
      <c r="C7" s="73"/>
      <c r="D7" s="73"/>
      <c r="E7" s="73"/>
      <c r="F7" s="19" t="str">
        <f>IFERROR(VLOOKUP(P3,Adattábla!L:BK,47,FALSE),"")</f>
        <v/>
      </c>
      <c r="G7" s="66"/>
      <c r="H7" s="67"/>
      <c r="I7" s="62" t="s">
        <v>14</v>
      </c>
      <c r="J7" s="58"/>
      <c r="K7" s="58"/>
      <c r="L7" s="58"/>
      <c r="M7" s="58"/>
      <c r="N7" s="58"/>
      <c r="O7" s="58"/>
      <c r="P7" s="85"/>
      <c r="Q7" s="86"/>
      <c r="R7" s="86"/>
      <c r="S7" s="86"/>
      <c r="T7" s="86"/>
      <c r="U7" s="13" t="s">
        <v>13</v>
      </c>
      <c r="V7" s="65"/>
      <c r="W7" s="65"/>
      <c r="X7" s="65"/>
      <c r="Y7" s="65"/>
      <c r="Z7" s="122"/>
      <c r="AA7" s="72" t="s">
        <v>22</v>
      </c>
      <c r="AB7" s="73"/>
      <c r="AC7" s="73"/>
      <c r="AD7" s="73"/>
      <c r="AE7" s="73"/>
      <c r="AF7" s="73"/>
      <c r="AG7" s="73"/>
      <c r="AH7" s="92" t="str">
        <f>IFERROR(IF(P5="Iker kaszt",IF(P6&gt;12,VLOOKUP(P3,Adattábla!L:BA,42,FALSE),VLOOKUP(P3,Adattábla!L:Y,P6+1,FALSE))+((VLOOKUP(P3,Adattábla!L:Y,IF(Y3&gt;13,14,Y3+1),FALSE)-IF(P6&gt;12,VLOOKUP(P3,Adattábla!L:BA,42,FALSE),VLOOKUP(P3,Adattábla!L:Y,P6+1,FALSE)))*2),IF(P5="Váltott kaszt",VLOOKUP(P3,Adattábla!L:Y,IF(Y3&gt;10,14,Y3+4),FALSE),VLOOKUP(P3,Adattábla!L:Y,IF(Y3&gt;13,14,Y3+1),FALSE))),"Váltás?")</f>
        <v>Váltás?</v>
      </c>
      <c r="AI7" s="92"/>
      <c r="AJ7" s="93"/>
      <c r="AK7" s="246"/>
      <c r="AL7" s="247"/>
      <c r="AM7" s="247"/>
      <c r="AN7" s="247"/>
      <c r="AO7" s="247"/>
      <c r="AP7" s="247"/>
      <c r="AQ7" s="247"/>
      <c r="AR7" s="247"/>
      <c r="AS7" s="247"/>
      <c r="AT7" s="247"/>
      <c r="AU7" s="248"/>
      <c r="AV7" s="230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2"/>
      <c r="BM7" s="67"/>
      <c r="BN7" s="232"/>
      <c r="BO7" s="67"/>
      <c r="BP7" s="231"/>
      <c r="BQ7" s="231"/>
      <c r="BR7" s="231"/>
      <c r="BS7" s="231"/>
      <c r="BT7" s="231"/>
      <c r="BU7" s="240"/>
    </row>
    <row r="8" spans="1:73" x14ac:dyDescent="0.25">
      <c r="A8" s="72" t="s">
        <v>6</v>
      </c>
      <c r="B8" s="73"/>
      <c r="C8" s="73"/>
      <c r="D8" s="73"/>
      <c r="E8" s="73"/>
      <c r="F8" s="19" t="str">
        <f>IFERROR(VLOOKUP(P3,Adattábla!L:BK,48,FALSE),"")</f>
        <v/>
      </c>
      <c r="G8" s="66"/>
      <c r="H8" s="67"/>
      <c r="I8" s="62" t="s">
        <v>15</v>
      </c>
      <c r="J8" s="58"/>
      <c r="K8" s="58"/>
      <c r="L8" s="58"/>
      <c r="M8" s="58"/>
      <c r="N8" s="58"/>
      <c r="O8" s="58"/>
      <c r="P8" s="85"/>
      <c r="Q8" s="86"/>
      <c r="R8" s="86"/>
      <c r="S8" s="86"/>
      <c r="T8" s="86"/>
      <c r="U8" s="86"/>
      <c r="V8" s="86"/>
      <c r="W8" s="86"/>
      <c r="X8" s="86"/>
      <c r="Y8" s="86"/>
      <c r="Z8" s="94"/>
      <c r="AA8" s="72" t="s">
        <v>23</v>
      </c>
      <c r="AB8" s="73"/>
      <c r="AC8" s="73"/>
      <c r="AD8" s="73"/>
      <c r="AE8" s="73"/>
      <c r="AF8" s="73"/>
      <c r="AG8" s="73"/>
      <c r="AH8" s="92">
        <f>IFERROR(IF(P5="Iker kaszt",VLOOKUP(P4,Adattábla!L:X,Y4+1,FALSE)*2,VLOOKUP(P4,Adattábla!L:X,Y4+1,FALSE)),0)</f>
        <v>0</v>
      </c>
      <c r="AI8" s="92"/>
      <c r="AJ8" s="93"/>
      <c r="AK8" s="246"/>
      <c r="AL8" s="247"/>
      <c r="AM8" s="247"/>
      <c r="AN8" s="247"/>
      <c r="AO8" s="247"/>
      <c r="AP8" s="247"/>
      <c r="AQ8" s="247"/>
      <c r="AR8" s="247"/>
      <c r="AS8" s="247"/>
      <c r="AT8" s="247"/>
      <c r="AU8" s="248"/>
      <c r="AV8" s="230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2"/>
      <c r="BM8" s="67"/>
      <c r="BN8" s="232"/>
      <c r="BO8" s="67"/>
      <c r="BP8" s="231"/>
      <c r="BQ8" s="231"/>
      <c r="BR8" s="231"/>
      <c r="BS8" s="231"/>
      <c r="BT8" s="231"/>
      <c r="BU8" s="240"/>
    </row>
    <row r="9" spans="1:73" x14ac:dyDescent="0.25">
      <c r="A9" s="72" t="s">
        <v>7</v>
      </c>
      <c r="B9" s="73"/>
      <c r="C9" s="73"/>
      <c r="D9" s="73"/>
      <c r="E9" s="73"/>
      <c r="F9" s="19" t="str">
        <f>IFERROR(VLOOKUP(P3,Adattábla!L:BK,49,FALSE),"")</f>
        <v/>
      </c>
      <c r="G9" s="66"/>
      <c r="H9" s="67"/>
      <c r="I9" s="62" t="s">
        <v>16</v>
      </c>
      <c r="J9" s="58"/>
      <c r="K9" s="58"/>
      <c r="L9" s="58"/>
      <c r="M9" s="58"/>
      <c r="N9" s="58"/>
      <c r="O9" s="58"/>
      <c r="P9" s="85"/>
      <c r="Q9" s="86"/>
      <c r="R9" s="86"/>
      <c r="S9" s="86"/>
      <c r="T9" s="86"/>
      <c r="U9" s="86"/>
      <c r="V9" s="86"/>
      <c r="W9" s="86"/>
      <c r="X9" s="86"/>
      <c r="Y9" s="86"/>
      <c r="Z9" s="94"/>
      <c r="AA9" s="110" t="s">
        <v>70</v>
      </c>
      <c r="AB9" s="108"/>
      <c r="AC9" s="108"/>
      <c r="AD9" s="108"/>
      <c r="AE9" s="108"/>
      <c r="AF9" s="108"/>
      <c r="AG9" s="111"/>
      <c r="AH9" s="120"/>
      <c r="AI9" s="120"/>
      <c r="AJ9" s="121"/>
      <c r="AK9" s="246"/>
      <c r="AL9" s="247"/>
      <c r="AM9" s="247"/>
      <c r="AN9" s="247"/>
      <c r="AO9" s="247"/>
      <c r="AP9" s="247"/>
      <c r="AQ9" s="247"/>
      <c r="AR9" s="247"/>
      <c r="AS9" s="247"/>
      <c r="AT9" s="247"/>
      <c r="AU9" s="248"/>
      <c r="AV9" s="230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2"/>
      <c r="BM9" s="67"/>
      <c r="BN9" s="232"/>
      <c r="BO9" s="67"/>
      <c r="BP9" s="231"/>
      <c r="BQ9" s="231"/>
      <c r="BR9" s="231"/>
      <c r="BS9" s="231"/>
      <c r="BT9" s="231"/>
      <c r="BU9" s="240"/>
    </row>
    <row r="10" spans="1:73" ht="15.75" thickBot="1" x14ac:dyDescent="0.3">
      <c r="A10" s="72" t="s">
        <v>8</v>
      </c>
      <c r="B10" s="73"/>
      <c r="C10" s="73"/>
      <c r="D10" s="73"/>
      <c r="E10" s="73"/>
      <c r="F10" s="19" t="str">
        <f>IFERROR(VLOOKUP(P3,Adattábla!L:BK,50,FALSE),"")</f>
        <v/>
      </c>
      <c r="G10" s="66"/>
      <c r="H10" s="67"/>
      <c r="I10" s="62" t="s">
        <v>17</v>
      </c>
      <c r="J10" s="58"/>
      <c r="K10" s="58"/>
      <c r="L10" s="58"/>
      <c r="M10" s="58"/>
      <c r="N10" s="58"/>
      <c r="O10" s="58"/>
      <c r="P10" s="100"/>
      <c r="Q10" s="101"/>
      <c r="R10" s="101"/>
      <c r="S10" s="101"/>
      <c r="T10" s="101"/>
      <c r="U10" s="101"/>
      <c r="V10" s="101"/>
      <c r="W10" s="101"/>
      <c r="X10" s="101"/>
      <c r="Y10" s="101"/>
      <c r="Z10" s="102"/>
      <c r="AA10" s="98" t="s">
        <v>24</v>
      </c>
      <c r="AB10" s="99"/>
      <c r="AC10" s="99"/>
      <c r="AD10" s="99"/>
      <c r="AE10" s="99"/>
      <c r="AF10" s="99"/>
      <c r="AG10" s="99"/>
      <c r="AH10" s="70">
        <f>Adattábla!C17-SUM(AH3:AJ9)</f>
        <v>10000</v>
      </c>
      <c r="AI10" s="70"/>
      <c r="AJ10" s="71"/>
      <c r="AK10" s="246"/>
      <c r="AL10" s="247"/>
      <c r="AM10" s="247"/>
      <c r="AN10" s="247"/>
      <c r="AO10" s="247"/>
      <c r="AP10" s="247"/>
      <c r="AQ10" s="247"/>
      <c r="AR10" s="247"/>
      <c r="AS10" s="247"/>
      <c r="AT10" s="247"/>
      <c r="AU10" s="248"/>
      <c r="AV10" s="230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2"/>
      <c r="BM10" s="67"/>
      <c r="BN10" s="232"/>
      <c r="BO10" s="67"/>
      <c r="BP10" s="231"/>
      <c r="BQ10" s="231"/>
      <c r="BR10" s="231"/>
      <c r="BS10" s="231"/>
      <c r="BT10" s="231"/>
      <c r="BU10" s="240"/>
    </row>
    <row r="11" spans="1:73" x14ac:dyDescent="0.25">
      <c r="A11" s="72" t="s">
        <v>9</v>
      </c>
      <c r="B11" s="73"/>
      <c r="C11" s="73"/>
      <c r="D11" s="73"/>
      <c r="E11" s="73"/>
      <c r="F11" s="19" t="str">
        <f>IFERROR(VLOOKUP(P3,Adattábla!L:BK,51,FALSE),"")</f>
        <v/>
      </c>
      <c r="G11" s="66"/>
      <c r="H11" s="67"/>
      <c r="I11" s="62" t="s">
        <v>118</v>
      </c>
      <c r="J11" s="58"/>
      <c r="K11" s="103"/>
      <c r="L11" s="104"/>
      <c r="M11" s="105"/>
      <c r="N11" s="106" t="s">
        <v>119</v>
      </c>
      <c r="O11" s="107"/>
      <c r="P11" s="108"/>
      <c r="Q11" s="108"/>
      <c r="R11" s="109"/>
      <c r="S11" s="109"/>
      <c r="T11" s="109"/>
      <c r="U11" s="73" t="s">
        <v>120</v>
      </c>
      <c r="V11" s="73"/>
      <c r="W11" s="65"/>
      <c r="X11" s="65"/>
      <c r="Y11" s="65"/>
      <c r="Z11" s="122"/>
      <c r="AA11" s="123" t="s">
        <v>102</v>
      </c>
      <c r="AB11" s="124"/>
      <c r="AC11" s="124"/>
      <c r="AD11" s="124"/>
      <c r="AE11" s="125" t="str">
        <f>IFERROR(IF(P5="",VLOOKUP(P3,Adattábla!L2:AO102,29,FALSE),IF(IFERROR(VLOOKUP(VLOOKUP(P3,Adattábla!L2:AO102,29,FALSE),Adattábla!D10:E13,2,FALSE),0)&gt;IFERROR(VLOOKUP(VLOOKUP(P4,Adattábla!L2:AO102,29,FALSE),Adattábla!D10:E13,2,FALSE),0),VLOOKUP(P3,Adattábla!L2:AO102,29,FALSE),VLOOKUP(P4,Adattábla!L2:AO102,29,FALSE))),"")</f>
        <v/>
      </c>
      <c r="AF11" s="126"/>
      <c r="AG11" s="126"/>
      <c r="AH11" s="126"/>
      <c r="AI11" s="126"/>
      <c r="AJ11" s="127"/>
      <c r="AK11" s="246"/>
      <c r="AL11" s="247"/>
      <c r="AM11" s="247"/>
      <c r="AN11" s="247"/>
      <c r="AO11" s="247"/>
      <c r="AP11" s="247"/>
      <c r="AQ11" s="247"/>
      <c r="AR11" s="247"/>
      <c r="AS11" s="247"/>
      <c r="AT11" s="247"/>
      <c r="AU11" s="248"/>
      <c r="AV11" s="230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2"/>
      <c r="BM11" s="67"/>
      <c r="BN11" s="232"/>
      <c r="BO11" s="67"/>
      <c r="BP11" s="231"/>
      <c r="BQ11" s="231"/>
      <c r="BR11" s="231"/>
      <c r="BS11" s="231"/>
      <c r="BT11" s="231"/>
      <c r="BU11" s="240"/>
    </row>
    <row r="12" spans="1:73" ht="15.75" thickBot="1" x14ac:dyDescent="0.3">
      <c r="A12" s="72" t="s">
        <v>10</v>
      </c>
      <c r="B12" s="73"/>
      <c r="C12" s="73"/>
      <c r="D12" s="73"/>
      <c r="E12" s="73"/>
      <c r="F12" s="19" t="str">
        <f>IFERROR(VLOOKUP(P3,Adattábla!L:BK,52,FALSE),"")</f>
        <v/>
      </c>
      <c r="G12" s="66"/>
      <c r="H12" s="67"/>
      <c r="I12" s="112" t="s">
        <v>121</v>
      </c>
      <c r="J12" s="113"/>
      <c r="K12" s="113"/>
      <c r="L12" s="114"/>
      <c r="M12" s="114"/>
      <c r="N12" s="114"/>
      <c r="O12" s="118" t="s">
        <v>122</v>
      </c>
      <c r="P12" s="119"/>
      <c r="Q12" s="119"/>
      <c r="R12" s="128"/>
      <c r="S12" s="129"/>
      <c r="T12" s="130"/>
      <c r="U12" s="118" t="s">
        <v>123</v>
      </c>
      <c r="V12" s="131"/>
      <c r="W12" s="128"/>
      <c r="X12" s="129"/>
      <c r="Y12" s="129"/>
      <c r="Z12" s="139"/>
      <c r="AA12" s="140" t="s">
        <v>112</v>
      </c>
      <c r="AB12" s="141"/>
      <c r="AC12" s="141"/>
      <c r="AD12" s="141"/>
      <c r="AE12" s="115" t="str">
        <f>IFERROR(IF(IFERROR(VLOOKUP(P3,Adattábla!L2:AO102,30,FALSE),0)&gt;IFERROR(VLOOKUP(P4,Adattábla!L2:AO102,30,FALSE),0),VLOOKUP(P3,Adattábla!L2:AO102,30,FALSE),VLOOKUP(P4,Adattábla!L2:AO102,30,FALSE)),"")</f>
        <v/>
      </c>
      <c r="AF12" s="116"/>
      <c r="AG12" s="116"/>
      <c r="AH12" s="116"/>
      <c r="AI12" s="116"/>
      <c r="AJ12" s="117"/>
      <c r="AK12" s="246"/>
      <c r="AL12" s="247"/>
      <c r="AM12" s="247"/>
      <c r="AN12" s="247"/>
      <c r="AO12" s="247"/>
      <c r="AP12" s="247"/>
      <c r="AQ12" s="247"/>
      <c r="AR12" s="247"/>
      <c r="AS12" s="247"/>
      <c r="AT12" s="247"/>
      <c r="AU12" s="248"/>
      <c r="AV12" s="230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2"/>
      <c r="BM12" s="67"/>
      <c r="BN12" s="232"/>
      <c r="BO12" s="67"/>
      <c r="BP12" s="231"/>
      <c r="BQ12" s="231"/>
      <c r="BR12" s="231"/>
      <c r="BS12" s="231"/>
      <c r="BT12" s="231"/>
      <c r="BU12" s="240"/>
    </row>
    <row r="13" spans="1:73" ht="15.75" thickBot="1" x14ac:dyDescent="0.3">
      <c r="A13" s="68" t="s">
        <v>11</v>
      </c>
      <c r="B13" s="69"/>
      <c r="C13" s="69"/>
      <c r="D13" s="69"/>
      <c r="E13" s="69"/>
      <c r="F13" s="69"/>
      <c r="G13" s="70" t="str">
        <f>IFERROR(AVERAGE(F3:F12),"")</f>
        <v/>
      </c>
      <c r="H13" s="71"/>
      <c r="I13" s="76" t="s">
        <v>103</v>
      </c>
      <c r="J13" s="77"/>
      <c r="K13" s="78"/>
      <c r="L13" s="95"/>
      <c r="M13" s="96"/>
      <c r="N13" s="96"/>
      <c r="O13" s="96"/>
      <c r="P13" s="96"/>
      <c r="Q13" s="96"/>
      <c r="R13" s="96"/>
      <c r="S13" s="96"/>
      <c r="T13" s="97"/>
      <c r="U13" s="77" t="s">
        <v>105</v>
      </c>
      <c r="V13" s="78"/>
      <c r="W13" s="14"/>
      <c r="X13" s="79" t="s">
        <v>106</v>
      </c>
      <c r="Y13" s="78"/>
      <c r="Z13" s="15"/>
      <c r="AA13" s="135" t="s">
        <v>114</v>
      </c>
      <c r="AB13" s="136"/>
      <c r="AC13" s="136"/>
      <c r="AD13" s="137"/>
      <c r="AE13" s="132" t="str">
        <f>IF(IFERROR((VLOOKUP(P3,Adattábla!L2:AM102,28,FALSE)),0)&lt;1,IFERROR(VLOOKUP(P4,Adattábla!L2:AM102,28,FALSE),"nincs"),VLOOKUP(P3,Adattábla!L2:AM102,28,FALSE))</f>
        <v>nincs</v>
      </c>
      <c r="AF13" s="133"/>
      <c r="AG13" s="133"/>
      <c r="AH13" s="133"/>
      <c r="AI13" s="133"/>
      <c r="AJ13" s="134"/>
      <c r="AK13" s="246"/>
      <c r="AL13" s="247"/>
      <c r="AM13" s="247"/>
      <c r="AN13" s="247"/>
      <c r="AO13" s="247"/>
      <c r="AP13" s="247"/>
      <c r="AQ13" s="247"/>
      <c r="AR13" s="247"/>
      <c r="AS13" s="247"/>
      <c r="AT13" s="247"/>
      <c r="AU13" s="248"/>
      <c r="AV13" s="230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2"/>
      <c r="BM13" s="67"/>
      <c r="BN13" s="232"/>
      <c r="BO13" s="67"/>
      <c r="BP13" s="231"/>
      <c r="BQ13" s="231"/>
      <c r="BR13" s="231"/>
      <c r="BS13" s="231"/>
      <c r="BT13" s="231"/>
      <c r="BU13" s="240"/>
    </row>
    <row r="14" spans="1:73" ht="15.75" thickBot="1" x14ac:dyDescent="0.3">
      <c r="A14" s="76" t="s">
        <v>131</v>
      </c>
      <c r="B14" s="77"/>
      <c r="C14" s="77"/>
      <c r="D14" s="77"/>
      <c r="E14" s="77"/>
      <c r="F14" s="77"/>
      <c r="G14" s="77"/>
      <c r="H14" s="80"/>
      <c r="I14" s="178" t="s">
        <v>107</v>
      </c>
      <c r="J14" s="149"/>
      <c r="K14" s="149"/>
      <c r="L14" s="149"/>
      <c r="M14" s="149"/>
      <c r="N14" s="149"/>
      <c r="O14" s="149"/>
      <c r="P14" s="149"/>
      <c r="Q14" s="149"/>
      <c r="R14" s="150"/>
      <c r="S14" s="100"/>
      <c r="T14" s="101"/>
      <c r="U14" s="148" t="s">
        <v>104</v>
      </c>
      <c r="V14" s="149"/>
      <c r="W14" s="150"/>
      <c r="X14" s="100"/>
      <c r="Y14" s="101"/>
      <c r="Z14" s="102"/>
      <c r="AA14" s="135" t="s">
        <v>116</v>
      </c>
      <c r="AB14" s="137"/>
      <c r="AC14" s="132" t="str">
        <f>IFERROR(IF(VLOOKUP(P3,Adattábla!L2:AM102,25,FALSE)&gt;IFERROR(VLOOKUP(P4,Adattábla!L2:AM102,25,FALSE),0),VLOOKUP(P3,Adattábla!L2:AM102,25,FALSE),VLOOKUP(P4,Adattábla!L2:AM102,25,FALSE))+IF(F7&gt;10,F7-10,0),"")</f>
        <v/>
      </c>
      <c r="AD14" s="133"/>
      <c r="AE14" s="133"/>
      <c r="AF14" s="133"/>
      <c r="AG14" s="133"/>
      <c r="AH14" s="133"/>
      <c r="AI14" s="133"/>
      <c r="AJ14" s="134"/>
      <c r="AK14" s="246"/>
      <c r="AL14" s="247"/>
      <c r="AM14" s="247"/>
      <c r="AN14" s="247"/>
      <c r="AO14" s="247"/>
      <c r="AP14" s="247"/>
      <c r="AQ14" s="247"/>
      <c r="AR14" s="247"/>
      <c r="AS14" s="247"/>
      <c r="AT14" s="247"/>
      <c r="AU14" s="248"/>
      <c r="AV14" s="230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2"/>
      <c r="BM14" s="67"/>
      <c r="BN14" s="232"/>
      <c r="BO14" s="67"/>
      <c r="BP14" s="231"/>
      <c r="BQ14" s="231"/>
      <c r="BR14" s="231"/>
      <c r="BS14" s="231"/>
      <c r="BT14" s="231"/>
      <c r="BU14" s="240"/>
    </row>
    <row r="15" spans="1:73" ht="15.75" customHeight="1" thickBot="1" x14ac:dyDescent="0.3">
      <c r="A15" s="157" t="str">
        <f>IFERROR(IF(VLOOKUP(P3,Adattábla!L:AD,19,FALSE)&gt;IFERROR(VLOOKUP(P4,Adattábla!L:AD,19,FALSE),0),P3,P4),"")</f>
        <v/>
      </c>
      <c r="B15" s="158"/>
      <c r="C15" s="158"/>
      <c r="D15" s="158"/>
      <c r="E15" s="158"/>
      <c r="F15" s="158"/>
      <c r="G15" s="158"/>
      <c r="H15" s="158"/>
      <c r="I15" s="163" t="s">
        <v>133</v>
      </c>
      <c r="J15" s="164"/>
      <c r="K15" s="165"/>
      <c r="L15" s="169" t="s">
        <v>72</v>
      </c>
      <c r="M15" s="170"/>
      <c r="N15" s="171"/>
      <c r="O15" s="169" t="s">
        <v>73</v>
      </c>
      <c r="P15" s="170"/>
      <c r="Q15" s="171"/>
      <c r="R15" s="169" t="s">
        <v>74</v>
      </c>
      <c r="S15" s="170"/>
      <c r="T15" s="171"/>
      <c r="U15" s="169" t="s">
        <v>75</v>
      </c>
      <c r="V15" s="170"/>
      <c r="W15" s="171"/>
      <c r="X15" s="159" t="s">
        <v>132</v>
      </c>
      <c r="Y15" s="159"/>
      <c r="Z15" s="160"/>
      <c r="AA15" s="138" t="s">
        <v>117</v>
      </c>
      <c r="AB15" s="138"/>
      <c r="AC15" s="151" t="str">
        <f>IFERROR(IF((VLOOKUP(P3,Adattábla!L2:AM102,26,FALSE)+(VLOOKUP(P3,Adattábla!L2:AM102,27,FALSE)+IF(F4&gt;10,F4-10,0)+IF(F10&gt;10,F10-10,0)))&gt;IFERROR(VLOOKUP(P4,Adattábla!L2:AM102,26,FALSE)+(VLOOKUP(P4,Adattábla!L2:AM102,27,FALSE))+IF(F4&gt;10,F4-10,0)+IF(F10&gt;10,F10-10,0),0),(VLOOKUP(P3,Adattábla!L2:AM102,26,FALSE)+(VLOOKUP(P3,Adattábla!L2:AM102,27,FALSE))+IF(F4&gt;10,F4-10,0)+IF(F10&gt;10,F10-10,0)),IFERROR(VLOOKUP(P4,Adattábla!L2:AM102,26,FALSE)+(VLOOKUP(P4,Adattábla!L2:AM102,27,FALSE))+IF(F4&gt;10,F4-10,0)+IF(F10&gt;10,F10-10,0),0)),"")</f>
        <v/>
      </c>
      <c r="AD15" s="152"/>
      <c r="AE15" s="152"/>
      <c r="AF15" s="152"/>
      <c r="AG15" s="152"/>
      <c r="AH15" s="152"/>
      <c r="AI15" s="152"/>
      <c r="AJ15" s="153"/>
      <c r="AK15" s="246"/>
      <c r="AL15" s="247"/>
      <c r="AM15" s="247"/>
      <c r="AN15" s="247"/>
      <c r="AO15" s="247"/>
      <c r="AP15" s="247"/>
      <c r="AQ15" s="247"/>
      <c r="AR15" s="247"/>
      <c r="AS15" s="247"/>
      <c r="AT15" s="247"/>
      <c r="AU15" s="248"/>
      <c r="AV15" s="230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2"/>
      <c r="BM15" s="67"/>
      <c r="BN15" s="232"/>
      <c r="BO15" s="67"/>
      <c r="BP15" s="231"/>
      <c r="BQ15" s="231"/>
      <c r="BR15" s="231"/>
      <c r="BS15" s="231"/>
      <c r="BT15" s="231"/>
      <c r="BU15" s="240"/>
    </row>
    <row r="16" spans="1:73" x14ac:dyDescent="0.25">
      <c r="A16" s="179" t="s">
        <v>136</v>
      </c>
      <c r="B16" s="180"/>
      <c r="C16" s="180"/>
      <c r="D16" s="180"/>
      <c r="E16" s="181" t="str">
        <f>IFERROR(IF(P5="Váltott kaszt",IFERROR(IF((VLOOKUP(Karakterlap!P3,Adattábla!L:AD,19,FALSE)-VLOOKUP(Karakterlap!P4,Adattábla!L:AD,19,FALSE))&gt;0,(VLOOKUP(Karakterlap!P3,Adattábla!L:AD,19,FALSE)-SUM(L18:W18))&amp;" (T:"&amp;VLOOKUP(Karakterlap!P3,Adattábla!L:AE,20,FALSE)&amp;" "&amp;"V:"&amp;VLOOKUP(Karakterlap!P3,Adattábla!L:AF,21,FALSE)&amp;")",VLOOKUP(Karakterlap!P3,Adattábla!L:AD,19,FALSE)+VLOOKUP(Karakterlap!P4,Adattábla!L:AD,19,FALSE)-SUM(L18:W18)-(Adattábla!I20*(VLOOKUP(Karakterlap!P4,Adattábla!L:AD,19,FALSE)/Karakterlap!Y4))&amp;" (T:"&amp;VLOOKUP(Karakterlap!P3,Adattábla!L:AE,20,FALSE)+VLOOKUP(Karakterlap!P4,Adattábla!L:AE,20,FALSE)&amp;" "&amp;"V:"&amp;VLOOKUP(Karakterlap!P3,Adattábla!L:AF,21,FALSE)+VLOOKUP(Karakterlap!P4,Adattábla!L:AF,21,FALSE)&amp;")"),""),(VLOOKUP(A15,Adattábla!L:AD,19,FALSE)-SUM(L18:W18))&amp;" (T:"&amp;VLOOKUP(A15,Adattábla!L:AE,20,FALSE)&amp;" "&amp;"V:"&amp;VLOOKUP(A15,Adattábla!L:AF,21,FALSE)&amp;")"),"")</f>
        <v/>
      </c>
      <c r="F16" s="181"/>
      <c r="G16" s="181"/>
      <c r="H16" s="182"/>
      <c r="I16" s="166"/>
      <c r="J16" s="167"/>
      <c r="K16" s="168"/>
      <c r="L16" s="172"/>
      <c r="M16" s="173"/>
      <c r="N16" s="174"/>
      <c r="O16" s="175"/>
      <c r="P16" s="176"/>
      <c r="Q16" s="177"/>
      <c r="R16" s="175"/>
      <c r="S16" s="176"/>
      <c r="T16" s="177"/>
      <c r="U16" s="175"/>
      <c r="V16" s="176"/>
      <c r="W16" s="177"/>
      <c r="X16" s="161"/>
      <c r="Y16" s="161"/>
      <c r="Z16" s="162"/>
      <c r="AA16" s="77" t="s">
        <v>124</v>
      </c>
      <c r="AB16" s="77"/>
      <c r="AC16" s="77"/>
      <c r="AD16" s="77"/>
      <c r="AE16" s="78"/>
      <c r="AF16" s="79" t="s">
        <v>125</v>
      </c>
      <c r="AG16" s="77"/>
      <c r="AH16" s="77"/>
      <c r="AI16" s="77"/>
      <c r="AJ16" s="80"/>
      <c r="AK16" s="246"/>
      <c r="AL16" s="247"/>
      <c r="AM16" s="247"/>
      <c r="AN16" s="247"/>
      <c r="AO16" s="247"/>
      <c r="AP16" s="247"/>
      <c r="AQ16" s="247"/>
      <c r="AR16" s="247"/>
      <c r="AS16" s="247"/>
      <c r="AT16" s="247"/>
      <c r="AU16" s="248"/>
      <c r="AV16" s="230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2"/>
      <c r="BM16" s="67"/>
      <c r="BN16" s="232"/>
      <c r="BO16" s="67"/>
      <c r="BP16" s="231"/>
      <c r="BQ16" s="231"/>
      <c r="BR16" s="231"/>
      <c r="BS16" s="231"/>
      <c r="BT16" s="231"/>
      <c r="BU16" s="240"/>
    </row>
    <row r="17" spans="1:73" ht="15" customHeight="1" x14ac:dyDescent="0.25">
      <c r="A17" s="183" t="s">
        <v>137</v>
      </c>
      <c r="B17" s="184"/>
      <c r="C17" s="184"/>
      <c r="D17" s="184"/>
      <c r="E17" s="184"/>
      <c r="F17" s="184"/>
      <c r="G17" s="185" t="s">
        <v>237</v>
      </c>
      <c r="H17" s="186"/>
      <c r="I17" s="200" t="b">
        <v>1</v>
      </c>
      <c r="J17" s="200"/>
      <c r="K17" s="200"/>
      <c r="L17" s="196" t="str">
        <f>IFERROR(VLOOKUP(P3,Adattábla!L:AD,15,FALSE),"")</f>
        <v/>
      </c>
      <c r="M17" s="196"/>
      <c r="N17" s="196"/>
      <c r="O17" s="144" t="str">
        <f>IFERROR(VLOOKUP(P3,Adattábla!L:AD,16,FALSE),"")</f>
        <v/>
      </c>
      <c r="P17" s="145"/>
      <c r="Q17" s="146"/>
      <c r="R17" s="142" t="str">
        <f>IFERROR(VLOOKUP(P3,Adattábla!L:AD,17,FALSE),"")</f>
        <v/>
      </c>
      <c r="S17" s="142"/>
      <c r="T17" s="142"/>
      <c r="U17" s="144" t="str">
        <f>IFERROR(IF(V7="Elf",20,IF(V7="Félelf",10,VLOOKUP(P3,Adattábla!L:AD,18,FALSE))),"")</f>
        <v/>
      </c>
      <c r="V17" s="145"/>
      <c r="W17" s="146"/>
      <c r="X17" s="154"/>
      <c r="Y17" s="155"/>
      <c r="Z17" s="156"/>
      <c r="AA17" s="108" t="s">
        <v>126</v>
      </c>
      <c r="AB17" s="111"/>
      <c r="AC17" s="90" t="str">
        <f>IFERROR(IF("Nomád sámán"=P3,F11,IF("Nomád sámán"=P4,F11,IF(F11&gt;10,F11-10,0))),"")</f>
        <v/>
      </c>
      <c r="AD17" s="88"/>
      <c r="AE17" s="63"/>
      <c r="AF17" s="147" t="s">
        <v>126</v>
      </c>
      <c r="AG17" s="111"/>
      <c r="AH17" s="90" t="str">
        <f>IFERROR(IF("Nomád sámán"=P3,F10,IF("Nomád sámán"=P4,F10,IF(F10&gt;10,F10-10,0))),"")</f>
        <v/>
      </c>
      <c r="AI17" s="88"/>
      <c r="AJ17" s="89"/>
      <c r="AK17" s="246"/>
      <c r="AL17" s="247"/>
      <c r="AM17" s="247"/>
      <c r="AN17" s="247"/>
      <c r="AO17" s="247"/>
      <c r="AP17" s="247"/>
      <c r="AQ17" s="247"/>
      <c r="AR17" s="247"/>
      <c r="AS17" s="247"/>
      <c r="AT17" s="247"/>
      <c r="AU17" s="248"/>
      <c r="AV17" s="230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2"/>
      <c r="BM17" s="67"/>
      <c r="BN17" s="232"/>
      <c r="BO17" s="67"/>
      <c r="BP17" s="231"/>
      <c r="BQ17" s="231"/>
      <c r="BR17" s="231"/>
      <c r="BS17" s="231"/>
      <c r="BT17" s="231"/>
      <c r="BU17" s="240"/>
    </row>
    <row r="18" spans="1:73" x14ac:dyDescent="0.25">
      <c r="A18" s="183" t="s">
        <v>134</v>
      </c>
      <c r="B18" s="184"/>
      <c r="C18" s="184"/>
      <c r="D18" s="184"/>
      <c r="E18" s="184"/>
      <c r="F18" s="184"/>
      <c r="G18" s="187"/>
      <c r="H18" s="188"/>
      <c r="I18" s="200" t="b">
        <v>1</v>
      </c>
      <c r="J18" s="200"/>
      <c r="K18" s="200"/>
      <c r="L18" s="197"/>
      <c r="M18" s="198"/>
      <c r="N18" s="199"/>
      <c r="O18" s="197"/>
      <c r="P18" s="198"/>
      <c r="Q18" s="199"/>
      <c r="R18" s="143"/>
      <c r="S18" s="143"/>
      <c r="T18" s="143"/>
      <c r="U18" s="197"/>
      <c r="V18" s="198"/>
      <c r="W18" s="199"/>
      <c r="X18" s="154"/>
      <c r="Y18" s="155"/>
      <c r="Z18" s="156"/>
      <c r="AA18" s="108" t="s">
        <v>127</v>
      </c>
      <c r="AB18" s="108"/>
      <c r="AC18" s="111"/>
      <c r="AD18" s="90" t="str">
        <f>IF("Nomád sámán"=P3,Y3*4,IF("Nomád sámán"=P4,Y4*4,AE12))</f>
        <v/>
      </c>
      <c r="AE18" s="63"/>
      <c r="AF18" s="147" t="s">
        <v>127</v>
      </c>
      <c r="AG18" s="108"/>
      <c r="AH18" s="111"/>
      <c r="AI18" s="90" t="str">
        <f>IF("Nomád sámán"=P3,Y3*4,IF("Nomád sámán"=P4,Y4*4,AE12))</f>
        <v/>
      </c>
      <c r="AJ18" s="89"/>
      <c r="AK18" s="246"/>
      <c r="AL18" s="247"/>
      <c r="AM18" s="247"/>
      <c r="AN18" s="247"/>
      <c r="AO18" s="247"/>
      <c r="AP18" s="247"/>
      <c r="AQ18" s="247"/>
      <c r="AR18" s="247"/>
      <c r="AS18" s="247"/>
      <c r="AT18" s="247"/>
      <c r="AU18" s="248"/>
      <c r="AV18" s="230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2"/>
      <c r="BM18" s="67"/>
      <c r="BN18" s="232"/>
      <c r="BO18" s="67"/>
      <c r="BP18" s="231"/>
      <c r="BQ18" s="231"/>
      <c r="BR18" s="231"/>
      <c r="BS18" s="231"/>
      <c r="BT18" s="231"/>
      <c r="BU18" s="240"/>
    </row>
    <row r="19" spans="1:73" x14ac:dyDescent="0.25">
      <c r="A19" s="183" t="s">
        <v>135</v>
      </c>
      <c r="B19" s="184"/>
      <c r="C19" s="184"/>
      <c r="D19" s="184"/>
      <c r="E19" s="184"/>
      <c r="F19" s="184"/>
      <c r="G19" s="189"/>
      <c r="H19" s="190"/>
      <c r="I19" s="200" t="b">
        <v>1</v>
      </c>
      <c r="J19" s="200"/>
      <c r="K19" s="200"/>
      <c r="L19" s="196" t="str">
        <f>IFERROR(L17+L18+IF(F5&gt;10,F5-10,0)+IF(F6&gt;10,F6-10,0)+IF(P5="Váltott kaszt",IF(P3="Fejvadász",ROUNDDOWN(Y3/2,0),0)+IF(P4="Fejvadász",ROUNDDOWN((Y4-Adattábla!I20)/2,0),0)+IF(P3="Tolvaj",Y3,0)+IF(P4="Tolvaj",Y4-Adattábla!I20,0)+IF(P3="Boszorkánymester",Y3,0)+IF(P4="Boszorkánymester",Y4-Adattábla!I20,0),IF(A15="Fejvadász",ROUNDDOWN(VLOOKUP(A15,Karakterlap!$P$3:$Z$4,10,FALSE)/2,0),0)+IF(A15="Tolvaj",VLOOKUP(A15,Karakterlap!$P$3:$Z$4,10,FALSE),0)+IF(A15="Boszorkánymester",VLOOKUP(A15,Karakterlap!$P$3:$Z$4,10,FALSE),0)),"")</f>
        <v/>
      </c>
      <c r="M19" s="196"/>
      <c r="N19" s="196"/>
      <c r="O19" s="144" t="str">
        <f>IFERROR(O17+O18+IF(F5&gt;10,F5-10,0)+IF(F6&gt;10,F6-10,0)+IF(F3&gt;10,F3-10,0),"")</f>
        <v/>
      </c>
      <c r="P19" s="145"/>
      <c r="Q19" s="146"/>
      <c r="R19" s="144" t="str">
        <f>IFERROR(R17+R18+IF(F5&gt;10,F5-10,0)+IF(F6&gt;10,F6-10,0),"")</f>
        <v/>
      </c>
      <c r="S19" s="145"/>
      <c r="T19" s="146"/>
      <c r="U19" s="145" t="str">
        <f>IFERROR(U17+U18+IF(F6&gt;10,F6-10,0),"")</f>
        <v/>
      </c>
      <c r="V19" s="145"/>
      <c r="W19" s="146"/>
      <c r="X19" s="154"/>
      <c r="Y19" s="155"/>
      <c r="Z19" s="156"/>
      <c r="AA19" s="108" t="s">
        <v>128</v>
      </c>
      <c r="AB19" s="108"/>
      <c r="AC19" s="111"/>
      <c r="AD19" s="85"/>
      <c r="AE19" s="87"/>
      <c r="AF19" s="147" t="s">
        <v>128</v>
      </c>
      <c r="AG19" s="108"/>
      <c r="AH19" s="111"/>
      <c r="AI19" s="85"/>
      <c r="AJ19" s="94"/>
      <c r="AK19" s="246"/>
      <c r="AL19" s="247"/>
      <c r="AM19" s="247"/>
      <c r="AN19" s="247"/>
      <c r="AO19" s="247"/>
      <c r="AP19" s="247"/>
      <c r="AQ19" s="247"/>
      <c r="AR19" s="247"/>
      <c r="AS19" s="247"/>
      <c r="AT19" s="247"/>
      <c r="AU19" s="248"/>
      <c r="AV19" s="230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2"/>
      <c r="BM19" s="67"/>
      <c r="BN19" s="232"/>
      <c r="BO19" s="67"/>
      <c r="BP19" s="231"/>
      <c r="BQ19" s="231"/>
      <c r="BR19" s="231"/>
      <c r="BS19" s="231"/>
      <c r="BT19" s="231"/>
      <c r="BU19" s="240"/>
    </row>
    <row r="20" spans="1:73" x14ac:dyDescent="0.25">
      <c r="A20" s="191"/>
      <c r="B20" s="192"/>
      <c r="C20" s="192"/>
      <c r="D20" s="192"/>
      <c r="E20" s="192"/>
      <c r="F20" s="192"/>
      <c r="G20" s="193"/>
      <c r="H20" s="194"/>
      <c r="I20" s="195" t="b">
        <v>0</v>
      </c>
      <c r="J20" s="195"/>
      <c r="K20" s="195"/>
      <c r="L20" s="16"/>
      <c r="M20" s="145" t="str">
        <f>IF(L20="","",L20+L19+IF(I20=TRUE,5,0))</f>
        <v/>
      </c>
      <c r="N20" s="146"/>
      <c r="O20" s="16"/>
      <c r="P20" s="145" t="str">
        <f>IF(O20="","",O20+O19+IF(I20=TRUE,10,0))</f>
        <v/>
      </c>
      <c r="Q20" s="146"/>
      <c r="R20" s="16"/>
      <c r="S20" s="145" t="str">
        <f>IF(R20="","",R20+R19+IF(I20=TRUE,10,0))</f>
        <v/>
      </c>
      <c r="T20" s="146"/>
      <c r="U20" s="16"/>
      <c r="V20" s="145" t="str">
        <f>IF(U20="","",U20+U19+IF(I20=TRUE,10,0))</f>
        <v/>
      </c>
      <c r="W20" s="146"/>
      <c r="X20" s="201"/>
      <c r="Y20" s="201"/>
      <c r="Z20" s="204"/>
      <c r="AA20" s="108" t="s">
        <v>129</v>
      </c>
      <c r="AB20" s="108"/>
      <c r="AC20" s="111"/>
      <c r="AD20" s="85"/>
      <c r="AE20" s="87"/>
      <c r="AF20" s="147" t="s">
        <v>129</v>
      </c>
      <c r="AG20" s="108"/>
      <c r="AH20" s="111"/>
      <c r="AI20" s="85"/>
      <c r="AJ20" s="94"/>
      <c r="AK20" s="246"/>
      <c r="AL20" s="247"/>
      <c r="AM20" s="247"/>
      <c r="AN20" s="247"/>
      <c r="AO20" s="247"/>
      <c r="AP20" s="247"/>
      <c r="AQ20" s="247"/>
      <c r="AR20" s="247"/>
      <c r="AS20" s="247"/>
      <c r="AT20" s="247"/>
      <c r="AU20" s="248"/>
      <c r="AV20" s="230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2"/>
      <c r="BM20" s="67"/>
      <c r="BN20" s="232"/>
      <c r="BO20" s="67"/>
      <c r="BP20" s="231"/>
      <c r="BQ20" s="231"/>
      <c r="BR20" s="231"/>
      <c r="BS20" s="231"/>
      <c r="BT20" s="231"/>
      <c r="BU20" s="240"/>
    </row>
    <row r="21" spans="1:73" ht="15.75" thickBot="1" x14ac:dyDescent="0.3">
      <c r="A21" s="191"/>
      <c r="B21" s="192"/>
      <c r="C21" s="192"/>
      <c r="D21" s="192"/>
      <c r="E21" s="192"/>
      <c r="F21" s="192"/>
      <c r="G21" s="193"/>
      <c r="H21" s="194"/>
      <c r="I21" s="195" t="b">
        <v>0</v>
      </c>
      <c r="J21" s="195"/>
      <c r="K21" s="195"/>
      <c r="L21" s="16"/>
      <c r="M21" s="145" t="str">
        <f>IF(L21="","",L21+L19+IF(I21=TRUE,5,0))</f>
        <v/>
      </c>
      <c r="N21" s="146"/>
      <c r="O21" s="16"/>
      <c r="P21" s="145" t="str">
        <f>IF(O21="","",O21+O19+IF(I21=TRUE,10,0))</f>
        <v/>
      </c>
      <c r="Q21" s="146"/>
      <c r="R21" s="16"/>
      <c r="S21" s="145" t="str">
        <f>IF(R21="","",R21+R19+IF(I21=TRUE,10,0))</f>
        <v/>
      </c>
      <c r="T21" s="146"/>
      <c r="U21" s="16"/>
      <c r="V21" s="145" t="str">
        <f>IF(U21="","",U21+U19+IF(I21=TRUE,10,0))</f>
        <v/>
      </c>
      <c r="W21" s="146"/>
      <c r="X21" s="201"/>
      <c r="Y21" s="201"/>
      <c r="Z21" s="204"/>
      <c r="AA21" s="141" t="s">
        <v>130</v>
      </c>
      <c r="AB21" s="141"/>
      <c r="AC21" s="210"/>
      <c r="AD21" s="212">
        <f>IF("Barbár"=P3,15+(Y3*4)+AD20,SUM(AC17:AE20))</f>
        <v>0</v>
      </c>
      <c r="AE21" s="213"/>
      <c r="AF21" s="211" t="s">
        <v>130</v>
      </c>
      <c r="AG21" s="141"/>
      <c r="AH21" s="210"/>
      <c r="AI21" s="212">
        <f>IF("Barbár"=P3,15+(Y3*4)+AI20,SUM(AH17:AJ20))</f>
        <v>0</v>
      </c>
      <c r="AJ21" s="214"/>
      <c r="AK21" s="246"/>
      <c r="AL21" s="247"/>
      <c r="AM21" s="247"/>
      <c r="AN21" s="247"/>
      <c r="AO21" s="247"/>
      <c r="AP21" s="247"/>
      <c r="AQ21" s="247"/>
      <c r="AR21" s="247"/>
      <c r="AS21" s="247"/>
      <c r="AT21" s="247"/>
      <c r="AU21" s="248"/>
      <c r="AV21" s="230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2"/>
      <c r="BM21" s="67"/>
      <c r="BN21" s="232"/>
      <c r="BO21" s="67"/>
      <c r="BP21" s="231"/>
      <c r="BQ21" s="231"/>
      <c r="BR21" s="231"/>
      <c r="BS21" s="231"/>
      <c r="BT21" s="231"/>
      <c r="BU21" s="240"/>
    </row>
    <row r="22" spans="1:73" x14ac:dyDescent="0.25">
      <c r="A22" s="191"/>
      <c r="B22" s="192"/>
      <c r="C22" s="192"/>
      <c r="D22" s="192"/>
      <c r="E22" s="192"/>
      <c r="F22" s="192"/>
      <c r="G22" s="193"/>
      <c r="H22" s="194"/>
      <c r="I22" s="195" t="b">
        <v>0</v>
      </c>
      <c r="J22" s="195"/>
      <c r="K22" s="195"/>
      <c r="L22" s="16"/>
      <c r="M22" s="145" t="str">
        <f>IF(L22="","",L22+L19+IF(I22=TRUE,5,0))</f>
        <v/>
      </c>
      <c r="N22" s="146"/>
      <c r="O22" s="16"/>
      <c r="P22" s="145" t="str">
        <f>IF(O22="","",O22+O19+IF(I22=TRUE,10,0))</f>
        <v/>
      </c>
      <c r="Q22" s="146"/>
      <c r="R22" s="16"/>
      <c r="S22" s="145" t="str">
        <f>IF(R22="","",R22+R19+IF(I22=TRUE,10,0))</f>
        <v/>
      </c>
      <c r="T22" s="146"/>
      <c r="U22" s="16"/>
      <c r="V22" s="145" t="str">
        <f>IF(U22="","",U22+U19+IF(I22=TRUE,10,0))</f>
        <v/>
      </c>
      <c r="W22" s="146"/>
      <c r="X22" s="201"/>
      <c r="Y22" s="201"/>
      <c r="Z22" s="193"/>
      <c r="AA22" s="76" t="s">
        <v>138</v>
      </c>
      <c r="AB22" s="77"/>
      <c r="AC22" s="77"/>
      <c r="AD22" s="77"/>
      <c r="AE22" s="77"/>
      <c r="AF22" s="77"/>
      <c r="AG22" s="77"/>
      <c r="AH22" s="78"/>
      <c r="AI22" s="79" t="str">
        <f>IFERROR((VLOOKUP(P3,Adattábla!L:AH,22,FALSE)+VLOOKUP(P3,Adattábla!L:AH,23,FALSE)+IFERROR(VLOOKUP(P4,Adattábla!L:AH,23,FALSE),0)+IF(F6&gt;10,F6-10,0)+IF(F9&gt;10,F9-10,0))-AI23-SUM(G31:G46,P31:P46,X31:X46,AH36:AH46),"")</f>
        <v/>
      </c>
      <c r="AJ22" s="80"/>
      <c r="AK22" s="246"/>
      <c r="AL22" s="247"/>
      <c r="AM22" s="247"/>
      <c r="AN22" s="247"/>
      <c r="AO22" s="247"/>
      <c r="AP22" s="247"/>
      <c r="AQ22" s="247"/>
      <c r="AR22" s="247"/>
      <c r="AS22" s="247"/>
      <c r="AT22" s="247"/>
      <c r="AU22" s="248"/>
      <c r="AV22" s="230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2"/>
      <c r="BM22" s="67"/>
      <c r="BN22" s="232"/>
      <c r="BO22" s="67"/>
      <c r="BP22" s="231"/>
      <c r="BQ22" s="231"/>
      <c r="BR22" s="231"/>
      <c r="BS22" s="231"/>
      <c r="BT22" s="231"/>
      <c r="BU22" s="240"/>
    </row>
    <row r="23" spans="1:73" x14ac:dyDescent="0.25">
      <c r="A23" s="191"/>
      <c r="B23" s="192"/>
      <c r="C23" s="192"/>
      <c r="D23" s="192"/>
      <c r="E23" s="192"/>
      <c r="F23" s="192"/>
      <c r="G23" s="193"/>
      <c r="H23" s="194"/>
      <c r="I23" s="195" t="b">
        <v>0</v>
      </c>
      <c r="J23" s="195"/>
      <c r="K23" s="195"/>
      <c r="L23" s="16"/>
      <c r="M23" s="145" t="str">
        <f>IF(L23="","",L23+L19+IF(I23=TRUE,5,0))</f>
        <v/>
      </c>
      <c r="N23" s="146"/>
      <c r="O23" s="16"/>
      <c r="P23" s="145" t="str">
        <f>IF(O23="","",O23+O19+IF(I23=TRUE,10,0))</f>
        <v/>
      </c>
      <c r="Q23" s="146"/>
      <c r="R23" s="16"/>
      <c r="S23" s="145" t="str">
        <f>IF(R23="","",R23+R19+IF(I23=TRUE,10,0))</f>
        <v/>
      </c>
      <c r="T23" s="146"/>
      <c r="U23" s="16"/>
      <c r="V23" s="145" t="str">
        <f>IF(U23="","",U23+U19+IF(I23=TRUE,10,0))</f>
        <v/>
      </c>
      <c r="W23" s="146"/>
      <c r="X23" s="201"/>
      <c r="Y23" s="201"/>
      <c r="Z23" s="193"/>
      <c r="AA23" s="208" t="s">
        <v>140</v>
      </c>
      <c r="AB23" s="88"/>
      <c r="AC23" s="88"/>
      <c r="AD23" s="88"/>
      <c r="AE23" s="88"/>
      <c r="AF23" s="88"/>
      <c r="AG23" s="88"/>
      <c r="AH23" s="63"/>
      <c r="AI23" s="65"/>
      <c r="AJ23" s="122"/>
      <c r="AK23" s="246"/>
      <c r="AL23" s="247"/>
      <c r="AM23" s="247"/>
      <c r="AN23" s="247"/>
      <c r="AO23" s="247"/>
      <c r="AP23" s="247"/>
      <c r="AQ23" s="247"/>
      <c r="AR23" s="247"/>
      <c r="AS23" s="247"/>
      <c r="AT23" s="247"/>
      <c r="AU23" s="248"/>
      <c r="AV23" s="230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2"/>
      <c r="BM23" s="67"/>
      <c r="BN23" s="232"/>
      <c r="BO23" s="67"/>
      <c r="BP23" s="231"/>
      <c r="BQ23" s="231"/>
      <c r="BR23" s="231"/>
      <c r="BS23" s="231"/>
      <c r="BT23" s="231"/>
      <c r="BU23" s="240"/>
    </row>
    <row r="24" spans="1:73" ht="15.75" thickBot="1" x14ac:dyDescent="0.3">
      <c r="A24" s="191"/>
      <c r="B24" s="192"/>
      <c r="C24" s="192"/>
      <c r="D24" s="192"/>
      <c r="E24" s="192"/>
      <c r="F24" s="192"/>
      <c r="G24" s="193"/>
      <c r="H24" s="194"/>
      <c r="I24" s="195" t="b">
        <v>0</v>
      </c>
      <c r="J24" s="195"/>
      <c r="K24" s="195"/>
      <c r="L24" s="16"/>
      <c r="M24" s="145" t="str">
        <f>IF(L24="","",L24+L19+IF(I24=TRUE,5,0))</f>
        <v/>
      </c>
      <c r="N24" s="146"/>
      <c r="O24" s="16"/>
      <c r="P24" s="145" t="str">
        <f>IF(O24="","",O24+O19+IF(I24=TRUE,10,0))</f>
        <v/>
      </c>
      <c r="Q24" s="146"/>
      <c r="R24" s="16"/>
      <c r="S24" s="145" t="str">
        <f>IF(R24="","",R24+R19+IF(I24=TRUE,10,0))</f>
        <v/>
      </c>
      <c r="T24" s="146"/>
      <c r="U24" s="16"/>
      <c r="V24" s="145" t="str">
        <f>IF(U24="","",U24+U19+IF(I24=TRUE,10,0))</f>
        <v/>
      </c>
      <c r="W24" s="146"/>
      <c r="X24" s="201"/>
      <c r="Y24" s="201"/>
      <c r="Z24" s="193"/>
      <c r="AA24" s="68" t="s">
        <v>141</v>
      </c>
      <c r="AB24" s="69"/>
      <c r="AC24" s="69"/>
      <c r="AD24" s="69"/>
      <c r="AE24" s="69"/>
      <c r="AF24" s="69"/>
      <c r="AG24" s="69"/>
      <c r="AH24" s="69">
        <f>IFERROR(((IFERROR(VLOOKUP(P3,Adattábla!L:AI,24,FALSE),0)+IFERROR(VLOOKUP(P4,Adattábla!L:AI,24,FALSE),0))+(AI23*3))-SUM(AG25:AH34),"")</f>
        <v>0</v>
      </c>
      <c r="AI24" s="69"/>
      <c r="AJ24" s="209"/>
      <c r="AK24" s="246"/>
      <c r="AL24" s="247"/>
      <c r="AM24" s="247"/>
      <c r="AN24" s="247"/>
      <c r="AO24" s="247"/>
      <c r="AP24" s="247"/>
      <c r="AQ24" s="247"/>
      <c r="AR24" s="247"/>
      <c r="AS24" s="247"/>
      <c r="AT24" s="247"/>
      <c r="AU24" s="248"/>
      <c r="AV24" s="230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2"/>
      <c r="BM24" s="67"/>
      <c r="BN24" s="232"/>
      <c r="BO24" s="67"/>
      <c r="BP24" s="231"/>
      <c r="BQ24" s="231"/>
      <c r="BR24" s="231"/>
      <c r="BS24" s="231"/>
      <c r="BT24" s="231"/>
      <c r="BU24" s="240"/>
    </row>
    <row r="25" spans="1:73" x14ac:dyDescent="0.25">
      <c r="A25" s="191"/>
      <c r="B25" s="192"/>
      <c r="C25" s="192"/>
      <c r="D25" s="192"/>
      <c r="E25" s="192"/>
      <c r="F25" s="192"/>
      <c r="G25" s="193"/>
      <c r="H25" s="194"/>
      <c r="I25" s="195" t="b">
        <v>0</v>
      </c>
      <c r="J25" s="195"/>
      <c r="K25" s="195"/>
      <c r="L25" s="16"/>
      <c r="M25" s="145" t="str">
        <f>IF(L25="","",L25+L19+IF(I25=TRUE,5,0))</f>
        <v/>
      </c>
      <c r="N25" s="146"/>
      <c r="O25" s="16"/>
      <c r="P25" s="145" t="str">
        <f>IF(O25="","",O25+O19+IF(I25=TRUE,10,0))</f>
        <v/>
      </c>
      <c r="Q25" s="146"/>
      <c r="R25" s="16"/>
      <c r="S25" s="145" t="str">
        <f>IF(R25="","",R25+R19+IF(I25=TRUE,10,0))</f>
        <v/>
      </c>
      <c r="T25" s="146"/>
      <c r="U25" s="16"/>
      <c r="V25" s="145" t="str">
        <f>IF(U25="","",U25+U19+IF(I25=TRUE,10,0))</f>
        <v/>
      </c>
      <c r="W25" s="146"/>
      <c r="X25" s="201"/>
      <c r="Y25" s="201"/>
      <c r="Z25" s="193"/>
      <c r="AA25" s="60" t="s">
        <v>143</v>
      </c>
      <c r="AB25" s="61"/>
      <c r="AC25" s="61"/>
      <c r="AD25" s="61"/>
      <c r="AE25" s="61"/>
      <c r="AF25" s="61"/>
      <c r="AG25" s="64"/>
      <c r="AH25" s="64"/>
      <c r="AI25" s="58" t="str">
        <f>IFERROR(IF(IFERROR(VLOOKUP($P$3,Adattábla!L:AZ,32,FALSE),0)&gt;IFERROR(VLOOKUP($P$4,Adattábla!L:AZ,32,FALSE),0),IFERROR(VLOOKUP($P$3,Adattábla!L:AZ,32,FALSE),0),IFERROR(VLOOKUP($P$4,Adattábla!L:AZ,32,FALSE),0))+IF($F$6&gt;10,$F$6-10,0)+AG25&amp;"%","")</f>
        <v/>
      </c>
      <c r="AJ25" s="59"/>
      <c r="AK25" s="246"/>
      <c r="AL25" s="247"/>
      <c r="AM25" s="247"/>
      <c r="AN25" s="247"/>
      <c r="AO25" s="247"/>
      <c r="AP25" s="247"/>
      <c r="AQ25" s="247"/>
      <c r="AR25" s="247"/>
      <c r="AS25" s="247"/>
      <c r="AT25" s="247"/>
      <c r="AU25" s="248"/>
      <c r="AV25" s="230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2"/>
      <c r="BM25" s="67"/>
      <c r="BN25" s="232"/>
      <c r="BO25" s="67"/>
      <c r="BP25" s="231"/>
      <c r="BQ25" s="231"/>
      <c r="BR25" s="231"/>
      <c r="BS25" s="231"/>
      <c r="BT25" s="231"/>
      <c r="BU25" s="240"/>
    </row>
    <row r="26" spans="1:73" x14ac:dyDescent="0.25">
      <c r="A26" s="191"/>
      <c r="B26" s="192"/>
      <c r="C26" s="192"/>
      <c r="D26" s="192"/>
      <c r="E26" s="192"/>
      <c r="F26" s="192"/>
      <c r="G26" s="193"/>
      <c r="H26" s="194"/>
      <c r="I26" s="195" t="b">
        <v>0</v>
      </c>
      <c r="J26" s="195"/>
      <c r="K26" s="195"/>
      <c r="L26" s="16"/>
      <c r="M26" s="145" t="str">
        <f>IF(L26="","",L26+L19+IF(I26=TRUE,5,0))</f>
        <v/>
      </c>
      <c r="N26" s="146"/>
      <c r="O26" s="16"/>
      <c r="P26" s="145" t="str">
        <f>IF(O26="","",O26+O19+IF(I26=TRUE,10,0))</f>
        <v/>
      </c>
      <c r="Q26" s="146"/>
      <c r="R26" s="16"/>
      <c r="S26" s="145" t="str">
        <f>IF(R26="","",R26+R19+IF(I26=TRUE,10,0))</f>
        <v/>
      </c>
      <c r="T26" s="146"/>
      <c r="U26" s="16"/>
      <c r="V26" s="145" t="str">
        <f>IF(U26="","",U26+U19+IF(I26=TRUE,10,0))</f>
        <v/>
      </c>
      <c r="W26" s="146"/>
      <c r="X26" s="201"/>
      <c r="Y26" s="201"/>
      <c r="Z26" s="193"/>
      <c r="AA26" s="62" t="s">
        <v>144</v>
      </c>
      <c r="AB26" s="58"/>
      <c r="AC26" s="58"/>
      <c r="AD26" s="58"/>
      <c r="AE26" s="58"/>
      <c r="AF26" s="58"/>
      <c r="AG26" s="65"/>
      <c r="AH26" s="65"/>
      <c r="AI26" s="58" t="str">
        <f>IFERROR(IF(IFERROR(VLOOKUP($P$3,Adattábla!L:AZ,33,FALSE),0)&gt;IFERROR(VLOOKUP($P$4,Adattábla!L:AZ,33,FALSE),0),IFERROR(VLOOKUP($P$3,Adattábla!L:AZ,33,FALSE),0),IFERROR(VLOOKUP($P$4,Adattábla!L:AZ,33,FALSE),0))+IF($F$6&gt;10,$F$6-10,0)+AG26&amp;"%","")</f>
        <v/>
      </c>
      <c r="AJ26" s="59"/>
      <c r="AK26" s="246"/>
      <c r="AL26" s="247"/>
      <c r="AM26" s="247"/>
      <c r="AN26" s="247"/>
      <c r="AO26" s="247"/>
      <c r="AP26" s="247"/>
      <c r="AQ26" s="247"/>
      <c r="AR26" s="247"/>
      <c r="AS26" s="247"/>
      <c r="AT26" s="247"/>
      <c r="AU26" s="248"/>
      <c r="AV26" s="230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2"/>
      <c r="BM26" s="67"/>
      <c r="BN26" s="232"/>
      <c r="BO26" s="67"/>
      <c r="BP26" s="231"/>
      <c r="BQ26" s="231"/>
      <c r="BR26" s="231"/>
      <c r="BS26" s="231"/>
      <c r="BT26" s="231"/>
      <c r="BU26" s="240"/>
    </row>
    <row r="27" spans="1:73" x14ac:dyDescent="0.25">
      <c r="A27" s="191"/>
      <c r="B27" s="192"/>
      <c r="C27" s="192"/>
      <c r="D27" s="192"/>
      <c r="E27" s="192"/>
      <c r="F27" s="192"/>
      <c r="G27" s="193"/>
      <c r="H27" s="194"/>
      <c r="I27" s="195" t="b">
        <v>0</v>
      </c>
      <c r="J27" s="195"/>
      <c r="K27" s="195"/>
      <c r="L27" s="16"/>
      <c r="M27" s="145" t="str">
        <f>IF(L27="","",L27+L19+IF(I27=TRUE,5,0))</f>
        <v/>
      </c>
      <c r="N27" s="146"/>
      <c r="O27" s="16"/>
      <c r="P27" s="145" t="str">
        <f>IF(O27="","",O27+O19+IF(I27=TRUE,10,0))</f>
        <v/>
      </c>
      <c r="Q27" s="146"/>
      <c r="R27" s="16"/>
      <c r="S27" s="145" t="str">
        <f>IF(R27="","",R27+R19+IF(I27=TRUE,10,0))</f>
        <v/>
      </c>
      <c r="T27" s="146"/>
      <c r="U27" s="16"/>
      <c r="V27" s="145" t="str">
        <f>IF(U27="","",U27+U19+IF(I27=TRUE,10,0))</f>
        <v/>
      </c>
      <c r="W27" s="146"/>
      <c r="X27" s="201"/>
      <c r="Y27" s="201"/>
      <c r="Z27" s="193"/>
      <c r="AA27" s="62" t="s">
        <v>145</v>
      </c>
      <c r="AB27" s="58"/>
      <c r="AC27" s="58"/>
      <c r="AD27" s="58"/>
      <c r="AE27" s="58"/>
      <c r="AF27" s="58"/>
      <c r="AG27" s="65"/>
      <c r="AH27" s="65"/>
      <c r="AI27" s="58" t="str">
        <f>IFERROR(IF(IFERROR(VLOOKUP($P$3,Adattábla!L:AZ,34,FALSE),0)&gt;IFERROR(VLOOKUP($P$4,Adattábla!L:AZ,34,FALSE),0),IFERROR(VLOOKUP($P$3,Adattábla!L:AZ,34,FALSE),0),IFERROR(VLOOKUP($P$4,Adattábla!L:AZ,34,FALSE),0))+IF($F$6&gt;10,$F$6-10,0)+AG27&amp;"%","")</f>
        <v/>
      </c>
      <c r="AJ27" s="59"/>
      <c r="AK27" s="246"/>
      <c r="AL27" s="247"/>
      <c r="AM27" s="247"/>
      <c r="AN27" s="247"/>
      <c r="AO27" s="247"/>
      <c r="AP27" s="247"/>
      <c r="AQ27" s="247"/>
      <c r="AR27" s="247"/>
      <c r="AS27" s="247"/>
      <c r="AT27" s="247"/>
      <c r="AU27" s="248"/>
      <c r="AV27" s="230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2"/>
      <c r="BM27" s="67"/>
      <c r="BN27" s="232"/>
      <c r="BO27" s="67"/>
      <c r="BP27" s="231"/>
      <c r="BQ27" s="231"/>
      <c r="BR27" s="231"/>
      <c r="BS27" s="231"/>
      <c r="BT27" s="231"/>
      <c r="BU27" s="240"/>
    </row>
    <row r="28" spans="1:73" x14ac:dyDescent="0.25">
      <c r="A28" s="191"/>
      <c r="B28" s="192"/>
      <c r="C28" s="192"/>
      <c r="D28" s="192"/>
      <c r="E28" s="192"/>
      <c r="F28" s="192"/>
      <c r="G28" s="193"/>
      <c r="H28" s="194"/>
      <c r="I28" s="195" t="b">
        <v>0</v>
      </c>
      <c r="J28" s="195"/>
      <c r="K28" s="195"/>
      <c r="L28" s="16"/>
      <c r="M28" s="145" t="str">
        <f>IF(L28="","",L28+L19+IF(I28=TRUE,5,0))</f>
        <v/>
      </c>
      <c r="N28" s="146"/>
      <c r="O28" s="16"/>
      <c r="P28" s="145" t="str">
        <f>IF(O28="","",O28+O19+IF(I28=TRUE,10,0))</f>
        <v/>
      </c>
      <c r="Q28" s="146"/>
      <c r="R28" s="16"/>
      <c r="S28" s="145" t="str">
        <f>IF(R28="","",R28+R19+IF(I28=TRUE,10,0))</f>
        <v/>
      </c>
      <c r="T28" s="146"/>
      <c r="U28" s="16"/>
      <c r="V28" s="145" t="str">
        <f>IF(U28="","",U28+U19+IF(I28=TRUE,10,0))</f>
        <v/>
      </c>
      <c r="W28" s="146"/>
      <c r="X28" s="201"/>
      <c r="Y28" s="201"/>
      <c r="Z28" s="193"/>
      <c r="AA28" s="62" t="s">
        <v>146</v>
      </c>
      <c r="AB28" s="58"/>
      <c r="AC28" s="58"/>
      <c r="AD28" s="58"/>
      <c r="AE28" s="58"/>
      <c r="AF28" s="58"/>
      <c r="AG28" s="65"/>
      <c r="AH28" s="65"/>
      <c r="AI28" s="58" t="str">
        <f>IFERROR(IF(IFERROR(VLOOKUP($P$3,Adattábla!L:AZ,35,FALSE),0)&gt;IFERROR(VLOOKUP($P$4,Adattábla!L:AZ,35,FALSE),0),IFERROR(VLOOKUP($P$3,Adattábla!L:AZ,35,FALSE),0),IFERROR(VLOOKUP($P$4,Adattábla!L:AZ,35,FALSE),0))+IF($F$6&gt;10,$F$6-10,0)+AG28&amp;"%","")</f>
        <v/>
      </c>
      <c r="AJ28" s="59"/>
      <c r="AK28" s="246"/>
      <c r="AL28" s="247"/>
      <c r="AM28" s="247"/>
      <c r="AN28" s="247"/>
      <c r="AO28" s="247"/>
      <c r="AP28" s="247"/>
      <c r="AQ28" s="247"/>
      <c r="AR28" s="247"/>
      <c r="AS28" s="247"/>
      <c r="AT28" s="247"/>
      <c r="AU28" s="248"/>
      <c r="AV28" s="230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2"/>
      <c r="BM28" s="67"/>
      <c r="BN28" s="232"/>
      <c r="BO28" s="67"/>
      <c r="BP28" s="231"/>
      <c r="BQ28" s="231"/>
      <c r="BR28" s="231"/>
      <c r="BS28" s="231"/>
      <c r="BT28" s="231"/>
      <c r="BU28" s="240"/>
    </row>
    <row r="29" spans="1:73" ht="15.75" thickBot="1" x14ac:dyDescent="0.3">
      <c r="A29" s="252"/>
      <c r="B29" s="253"/>
      <c r="C29" s="253"/>
      <c r="D29" s="253"/>
      <c r="E29" s="253"/>
      <c r="F29" s="253"/>
      <c r="G29" s="254"/>
      <c r="H29" s="255"/>
      <c r="I29" s="205" t="b">
        <v>0</v>
      </c>
      <c r="J29" s="205"/>
      <c r="K29" s="205"/>
      <c r="L29" s="20"/>
      <c r="M29" s="206" t="str">
        <f>IF(L29="","",L29+L19+IF(I29=TRUE,5,0))</f>
        <v/>
      </c>
      <c r="N29" s="207"/>
      <c r="O29" s="20"/>
      <c r="P29" s="206" t="str">
        <f>IF(O29="","",O29+O19+IF(I29=TRUE,10,0))</f>
        <v/>
      </c>
      <c r="Q29" s="207"/>
      <c r="R29" s="20"/>
      <c r="S29" s="206" t="str">
        <f>IF(R29="","",R29+R19+IF(I29=TRUE,10,0))</f>
        <v/>
      </c>
      <c r="T29" s="207"/>
      <c r="U29" s="20"/>
      <c r="V29" s="206" t="str">
        <f>IF(U29="","",U29+U19+IF(I29=TRUE,10,0))</f>
        <v/>
      </c>
      <c r="W29" s="207"/>
      <c r="X29" s="202"/>
      <c r="Y29" s="202"/>
      <c r="Z29" s="203"/>
      <c r="AA29" s="62" t="s">
        <v>147</v>
      </c>
      <c r="AB29" s="58"/>
      <c r="AC29" s="58"/>
      <c r="AD29" s="58"/>
      <c r="AE29" s="58"/>
      <c r="AF29" s="58"/>
      <c r="AG29" s="65"/>
      <c r="AH29" s="65"/>
      <c r="AI29" s="58" t="str">
        <f>IFERROR(IF(IFERROR(VLOOKUP($P$3,Adattábla!L:AZ,36,FALSE),0)&gt;IFERROR(VLOOKUP($P$4,Adattábla!L:AZ,36,FALSE),0),IFERROR(VLOOKUP($P$3,Adattábla!L:AZ,36,FALSE),0),IFERROR(VLOOKUP($P$4,Adattábla!L:AZ,36,FALSE),0))+IF($F$6&gt;10,$F$6-10,0)+AG29&amp;"%","")</f>
        <v/>
      </c>
      <c r="AJ29" s="59"/>
      <c r="AK29" s="246"/>
      <c r="AL29" s="247"/>
      <c r="AM29" s="247"/>
      <c r="AN29" s="247"/>
      <c r="AO29" s="247"/>
      <c r="AP29" s="247"/>
      <c r="AQ29" s="247"/>
      <c r="AR29" s="247"/>
      <c r="AS29" s="247"/>
      <c r="AT29" s="247"/>
      <c r="AU29" s="248"/>
      <c r="AV29" s="230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2"/>
      <c r="BM29" s="67"/>
      <c r="BN29" s="232"/>
      <c r="BO29" s="67"/>
      <c r="BP29" s="231"/>
      <c r="BQ29" s="231"/>
      <c r="BR29" s="231"/>
      <c r="BS29" s="231"/>
      <c r="BT29" s="231"/>
      <c r="BU29" s="240"/>
    </row>
    <row r="30" spans="1:73" x14ac:dyDescent="0.25">
      <c r="A30" s="229" t="s">
        <v>156</v>
      </c>
      <c r="B30" s="225"/>
      <c r="C30" s="225"/>
      <c r="D30" s="225"/>
      <c r="E30" s="225"/>
      <c r="F30" s="225"/>
      <c r="G30" s="23" t="s">
        <v>154</v>
      </c>
      <c r="H30" s="225" t="s">
        <v>155</v>
      </c>
      <c r="I30" s="226"/>
      <c r="J30" s="229" t="s">
        <v>157</v>
      </c>
      <c r="K30" s="225"/>
      <c r="L30" s="225"/>
      <c r="M30" s="225"/>
      <c r="N30" s="225"/>
      <c r="O30" s="225"/>
      <c r="P30" s="23" t="s">
        <v>154</v>
      </c>
      <c r="Q30" s="24" t="s">
        <v>155</v>
      </c>
      <c r="R30" s="229" t="s">
        <v>158</v>
      </c>
      <c r="S30" s="225"/>
      <c r="T30" s="225"/>
      <c r="U30" s="225"/>
      <c r="V30" s="225"/>
      <c r="W30" s="225"/>
      <c r="X30" s="21" t="s">
        <v>154</v>
      </c>
      <c r="Y30" s="225" t="s">
        <v>155</v>
      </c>
      <c r="Z30" s="226"/>
      <c r="AA30" s="63" t="s">
        <v>148</v>
      </c>
      <c r="AB30" s="58"/>
      <c r="AC30" s="58"/>
      <c r="AD30" s="58"/>
      <c r="AE30" s="58"/>
      <c r="AF30" s="58"/>
      <c r="AG30" s="65"/>
      <c r="AH30" s="65"/>
      <c r="AI30" s="58" t="str">
        <f>IFERROR(IF(IFERROR(VLOOKUP($P$3,Adattábla!L:AZ,37,FALSE),0)&gt;IFERROR(VLOOKUP($P$4,Adattábla!L:AZ,37,FALSE),0),IFERROR(VLOOKUP($P$3,Adattábla!L:AZ,37,FALSE),0),IFERROR(VLOOKUP($P$4,Adattábla!L:AZ,37,FALSE),0))+IF($F$6&gt;10,$F$6-10,0)+AG30&amp;"%","")</f>
        <v/>
      </c>
      <c r="AJ30" s="59"/>
      <c r="AK30" s="246"/>
      <c r="AL30" s="247"/>
      <c r="AM30" s="247"/>
      <c r="AN30" s="247"/>
      <c r="AO30" s="247"/>
      <c r="AP30" s="247"/>
      <c r="AQ30" s="247"/>
      <c r="AR30" s="247"/>
      <c r="AS30" s="247"/>
      <c r="AT30" s="247"/>
      <c r="AU30" s="248"/>
      <c r="AV30" s="230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2"/>
      <c r="BM30" s="67"/>
      <c r="BN30" s="232"/>
      <c r="BO30" s="67"/>
      <c r="BP30" s="231"/>
      <c r="BQ30" s="231"/>
      <c r="BR30" s="231"/>
      <c r="BS30" s="231"/>
      <c r="BT30" s="231"/>
      <c r="BU30" s="240"/>
    </row>
    <row r="31" spans="1:73" x14ac:dyDescent="0.25">
      <c r="A31" s="224"/>
      <c r="B31" s="215"/>
      <c r="C31" s="215"/>
      <c r="D31" s="215"/>
      <c r="E31" s="215"/>
      <c r="F31" s="215"/>
      <c r="G31" s="25"/>
      <c r="H31" s="215"/>
      <c r="I31" s="216"/>
      <c r="J31" s="224"/>
      <c r="K31" s="215"/>
      <c r="L31" s="215"/>
      <c r="M31" s="215"/>
      <c r="N31" s="215"/>
      <c r="O31" s="215"/>
      <c r="P31" s="25"/>
      <c r="Q31" s="27"/>
      <c r="R31" s="224"/>
      <c r="S31" s="215"/>
      <c r="T31" s="215"/>
      <c r="U31" s="215"/>
      <c r="V31" s="215"/>
      <c r="W31" s="215"/>
      <c r="X31" s="25"/>
      <c r="Y31" s="215"/>
      <c r="Z31" s="216"/>
      <c r="AA31" s="63" t="s">
        <v>149</v>
      </c>
      <c r="AB31" s="58"/>
      <c r="AC31" s="58"/>
      <c r="AD31" s="58"/>
      <c r="AE31" s="58"/>
      <c r="AF31" s="58"/>
      <c r="AG31" s="65"/>
      <c r="AH31" s="65"/>
      <c r="AI31" s="58" t="str">
        <f>IFERROR(IF(IFERROR(VLOOKUP($P$3,Adattábla!L:AZ,38,FALSE),0)&gt;IFERROR(VLOOKUP($P$4,Adattábla!L:AZ,38,FALSE),0),IFERROR(VLOOKUP($P$3,Adattábla!L:AZ,38,FALSE),0),IFERROR(VLOOKUP($P$4,Adattábla!L:AZ,38,FALSE),0))+IF($F$6&gt;10,$F$6-10,0)+AG31&amp;"%","")</f>
        <v/>
      </c>
      <c r="AJ31" s="59"/>
      <c r="AK31" s="246"/>
      <c r="AL31" s="247"/>
      <c r="AM31" s="247"/>
      <c r="AN31" s="247"/>
      <c r="AO31" s="247"/>
      <c r="AP31" s="247"/>
      <c r="AQ31" s="247"/>
      <c r="AR31" s="247"/>
      <c r="AS31" s="247"/>
      <c r="AT31" s="247"/>
      <c r="AU31" s="248"/>
      <c r="AV31" s="230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2"/>
      <c r="BM31" s="67"/>
      <c r="BN31" s="232"/>
      <c r="BO31" s="67"/>
      <c r="BP31" s="231"/>
      <c r="BQ31" s="231"/>
      <c r="BR31" s="231"/>
      <c r="BS31" s="231"/>
      <c r="BT31" s="231"/>
      <c r="BU31" s="240"/>
    </row>
    <row r="32" spans="1:73" x14ac:dyDescent="0.25">
      <c r="A32" s="224"/>
      <c r="B32" s="215"/>
      <c r="C32" s="215"/>
      <c r="D32" s="215"/>
      <c r="E32" s="215"/>
      <c r="F32" s="215"/>
      <c r="G32" s="25"/>
      <c r="H32" s="215"/>
      <c r="I32" s="216"/>
      <c r="J32" s="224"/>
      <c r="K32" s="215"/>
      <c r="L32" s="215"/>
      <c r="M32" s="215"/>
      <c r="N32" s="215"/>
      <c r="O32" s="215"/>
      <c r="P32" s="25"/>
      <c r="Q32" s="27"/>
      <c r="R32" s="224"/>
      <c r="S32" s="215"/>
      <c r="T32" s="215"/>
      <c r="U32" s="215"/>
      <c r="V32" s="215"/>
      <c r="W32" s="215"/>
      <c r="X32" s="25"/>
      <c r="Y32" s="215"/>
      <c r="Z32" s="216"/>
      <c r="AA32" s="63" t="s">
        <v>150</v>
      </c>
      <c r="AB32" s="58"/>
      <c r="AC32" s="58"/>
      <c r="AD32" s="58"/>
      <c r="AE32" s="58"/>
      <c r="AF32" s="58"/>
      <c r="AG32" s="65"/>
      <c r="AH32" s="65"/>
      <c r="AI32" s="58" t="str">
        <f>IFERROR(IF(IFERROR(VLOOKUP($P$3,Adattábla!L:AZ,39,FALSE),0)&gt;IFERROR(VLOOKUP($P$4,Adattábla!L:AZ,39,FALSE),0),IFERROR(VLOOKUP($P$3,Adattábla!L:AZ,39,FALSE),0),IFERROR(VLOOKUP($P$4,Adattábla!L:AZ,39,FALSE),0))+IF($F$6&gt;10,$F$6-10,0)+AG32&amp;"%","")</f>
        <v/>
      </c>
      <c r="AJ32" s="59"/>
      <c r="AK32" s="246"/>
      <c r="AL32" s="247"/>
      <c r="AM32" s="247"/>
      <c r="AN32" s="247"/>
      <c r="AO32" s="247"/>
      <c r="AP32" s="247"/>
      <c r="AQ32" s="247"/>
      <c r="AR32" s="247"/>
      <c r="AS32" s="247"/>
      <c r="AT32" s="247"/>
      <c r="AU32" s="248"/>
      <c r="AV32" s="230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2"/>
      <c r="BM32" s="67"/>
      <c r="BN32" s="232"/>
      <c r="BO32" s="67"/>
      <c r="BP32" s="231"/>
      <c r="BQ32" s="231"/>
      <c r="BR32" s="231"/>
      <c r="BS32" s="231"/>
      <c r="BT32" s="231"/>
      <c r="BU32" s="240"/>
    </row>
    <row r="33" spans="1:73" x14ac:dyDescent="0.25">
      <c r="A33" s="224"/>
      <c r="B33" s="215"/>
      <c r="C33" s="215"/>
      <c r="D33" s="215"/>
      <c r="E33" s="215"/>
      <c r="F33" s="215"/>
      <c r="G33" s="25"/>
      <c r="H33" s="215"/>
      <c r="I33" s="216"/>
      <c r="J33" s="224"/>
      <c r="K33" s="215"/>
      <c r="L33" s="215"/>
      <c r="M33" s="215"/>
      <c r="N33" s="215"/>
      <c r="O33" s="215"/>
      <c r="P33" s="25"/>
      <c r="Q33" s="27"/>
      <c r="R33" s="224"/>
      <c r="S33" s="215"/>
      <c r="T33" s="215"/>
      <c r="U33" s="215"/>
      <c r="V33" s="215"/>
      <c r="W33" s="215"/>
      <c r="X33" s="25"/>
      <c r="Y33" s="215"/>
      <c r="Z33" s="216"/>
      <c r="AA33" s="63" t="s">
        <v>151</v>
      </c>
      <c r="AB33" s="58"/>
      <c r="AC33" s="58"/>
      <c r="AD33" s="58"/>
      <c r="AE33" s="58"/>
      <c r="AF33" s="58"/>
      <c r="AG33" s="65"/>
      <c r="AH33" s="65"/>
      <c r="AI33" s="58" t="str">
        <f>IFERROR(IF(IFERROR(VLOOKUP($P$3,Adattábla!L:AZ,40,FALSE),0)&gt;IFERROR(VLOOKUP($P$4,Adattábla!L:AZ,40,FALSE),0),IFERROR(VLOOKUP($P$3,Adattábla!L:AZ,40,FALSE),0),IFERROR(VLOOKUP($P$4,Adattábla!L:AZ,40,FALSE),0))+IF($F$6&gt;10,$F$6-10,0)+AG33&amp;"%","")</f>
        <v/>
      </c>
      <c r="AJ33" s="59"/>
      <c r="AK33" s="246"/>
      <c r="AL33" s="247"/>
      <c r="AM33" s="247"/>
      <c r="AN33" s="247"/>
      <c r="AO33" s="247"/>
      <c r="AP33" s="247"/>
      <c r="AQ33" s="247"/>
      <c r="AR33" s="247"/>
      <c r="AS33" s="247"/>
      <c r="AT33" s="247"/>
      <c r="AU33" s="248"/>
      <c r="AV33" s="230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2"/>
      <c r="BM33" s="67"/>
      <c r="BN33" s="232"/>
      <c r="BO33" s="67"/>
      <c r="BP33" s="231"/>
      <c r="BQ33" s="231"/>
      <c r="BR33" s="231"/>
      <c r="BS33" s="231"/>
      <c r="BT33" s="231"/>
      <c r="BU33" s="240"/>
    </row>
    <row r="34" spans="1:73" ht="15.75" thickBot="1" x14ac:dyDescent="0.3">
      <c r="A34" s="224"/>
      <c r="B34" s="215"/>
      <c r="C34" s="215"/>
      <c r="D34" s="215"/>
      <c r="E34" s="215"/>
      <c r="F34" s="215"/>
      <c r="G34" s="25"/>
      <c r="H34" s="215"/>
      <c r="I34" s="216"/>
      <c r="J34" s="224"/>
      <c r="K34" s="215"/>
      <c r="L34" s="215"/>
      <c r="M34" s="215"/>
      <c r="N34" s="215"/>
      <c r="O34" s="215"/>
      <c r="P34" s="25"/>
      <c r="Q34" s="27"/>
      <c r="R34" s="224"/>
      <c r="S34" s="215"/>
      <c r="T34" s="215"/>
      <c r="U34" s="215"/>
      <c r="V34" s="215"/>
      <c r="W34" s="215"/>
      <c r="X34" s="25"/>
      <c r="Y34" s="215"/>
      <c r="Z34" s="216"/>
      <c r="AA34" s="150" t="s">
        <v>152</v>
      </c>
      <c r="AB34" s="228"/>
      <c r="AC34" s="228"/>
      <c r="AD34" s="228"/>
      <c r="AE34" s="228"/>
      <c r="AF34" s="228"/>
      <c r="AG34" s="109"/>
      <c r="AH34" s="109"/>
      <c r="AI34" s="58" t="str">
        <f>IFERROR(IF(IFERROR(VLOOKUP($P$3,Adattábla!L:AZ,41,FALSE),0)&gt;IFERROR(VLOOKUP($P$4,Adattábla!L:AZ,41,FALSE),0),IFERROR(VLOOKUP($P$3,Adattábla!L:AZ,41,FALSE),0),IFERROR(VLOOKUP($P$4,Adattábla!L:AZ,41,FALSE),0))+IF($F$6&gt;10,$F$6-10,0)+AG34&amp;"%","")</f>
        <v/>
      </c>
      <c r="AJ34" s="59"/>
      <c r="AK34" s="246"/>
      <c r="AL34" s="247"/>
      <c r="AM34" s="247"/>
      <c r="AN34" s="247"/>
      <c r="AO34" s="247"/>
      <c r="AP34" s="247"/>
      <c r="AQ34" s="247"/>
      <c r="AR34" s="247"/>
      <c r="AS34" s="247"/>
      <c r="AT34" s="247"/>
      <c r="AU34" s="248"/>
      <c r="AV34" s="230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2"/>
      <c r="BM34" s="67"/>
      <c r="BN34" s="232"/>
      <c r="BO34" s="67"/>
      <c r="BP34" s="231"/>
      <c r="BQ34" s="231"/>
      <c r="BR34" s="231"/>
      <c r="BS34" s="231"/>
      <c r="BT34" s="231"/>
      <c r="BU34" s="240"/>
    </row>
    <row r="35" spans="1:73" x14ac:dyDescent="0.25">
      <c r="A35" s="224"/>
      <c r="B35" s="215"/>
      <c r="C35" s="215"/>
      <c r="D35" s="215"/>
      <c r="E35" s="215"/>
      <c r="F35" s="215"/>
      <c r="G35" s="25"/>
      <c r="H35" s="215"/>
      <c r="I35" s="216"/>
      <c r="J35" s="224"/>
      <c r="K35" s="215"/>
      <c r="L35" s="215"/>
      <c r="M35" s="215"/>
      <c r="N35" s="215"/>
      <c r="O35" s="215"/>
      <c r="P35" s="25"/>
      <c r="Q35" s="27"/>
      <c r="R35" s="224"/>
      <c r="S35" s="215"/>
      <c r="T35" s="215"/>
      <c r="U35" s="215"/>
      <c r="V35" s="215"/>
      <c r="W35" s="215"/>
      <c r="X35" s="25"/>
      <c r="Y35" s="215"/>
      <c r="Z35" s="216"/>
      <c r="AA35" s="219" t="s">
        <v>153</v>
      </c>
      <c r="AB35" s="220"/>
      <c r="AC35" s="220"/>
      <c r="AD35" s="220"/>
      <c r="AE35" s="220"/>
      <c r="AF35" s="220"/>
      <c r="AG35" s="220"/>
      <c r="AH35" s="22" t="s">
        <v>154</v>
      </c>
      <c r="AI35" s="220" t="s">
        <v>155</v>
      </c>
      <c r="AJ35" s="221"/>
      <c r="AK35" s="246"/>
      <c r="AL35" s="247"/>
      <c r="AM35" s="247"/>
      <c r="AN35" s="247"/>
      <c r="AO35" s="247"/>
      <c r="AP35" s="247"/>
      <c r="AQ35" s="247"/>
      <c r="AR35" s="247"/>
      <c r="AS35" s="247"/>
      <c r="AT35" s="247"/>
      <c r="AU35" s="248"/>
      <c r="AV35" s="230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2"/>
      <c r="BM35" s="67"/>
      <c r="BN35" s="232"/>
      <c r="BO35" s="67"/>
      <c r="BP35" s="231"/>
      <c r="BQ35" s="231"/>
      <c r="BR35" s="231"/>
      <c r="BS35" s="231"/>
      <c r="BT35" s="231"/>
      <c r="BU35" s="240"/>
    </row>
    <row r="36" spans="1:73" x14ac:dyDescent="0.25">
      <c r="A36" s="224"/>
      <c r="B36" s="215"/>
      <c r="C36" s="215"/>
      <c r="D36" s="215"/>
      <c r="E36" s="215"/>
      <c r="F36" s="215"/>
      <c r="G36" s="25"/>
      <c r="H36" s="215"/>
      <c r="I36" s="216"/>
      <c r="J36" s="224"/>
      <c r="K36" s="215"/>
      <c r="L36" s="215"/>
      <c r="M36" s="215"/>
      <c r="N36" s="215"/>
      <c r="O36" s="215"/>
      <c r="P36" s="25"/>
      <c r="Q36" s="27"/>
      <c r="R36" s="224"/>
      <c r="S36" s="215"/>
      <c r="T36" s="215"/>
      <c r="U36" s="215"/>
      <c r="V36" s="215"/>
      <c r="W36" s="215"/>
      <c r="X36" s="25"/>
      <c r="Y36" s="215"/>
      <c r="Z36" s="216"/>
      <c r="AA36" s="222"/>
      <c r="AB36" s="215"/>
      <c r="AC36" s="215"/>
      <c r="AD36" s="215"/>
      <c r="AE36" s="215"/>
      <c r="AF36" s="215"/>
      <c r="AG36" s="215"/>
      <c r="AH36" s="25"/>
      <c r="AI36" s="215"/>
      <c r="AJ36" s="216"/>
      <c r="AK36" s="246"/>
      <c r="AL36" s="247"/>
      <c r="AM36" s="247"/>
      <c r="AN36" s="247"/>
      <c r="AO36" s="247"/>
      <c r="AP36" s="247"/>
      <c r="AQ36" s="247"/>
      <c r="AR36" s="247"/>
      <c r="AS36" s="247"/>
      <c r="AT36" s="247"/>
      <c r="AU36" s="248"/>
      <c r="AV36" s="230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2"/>
      <c r="BM36" s="67"/>
      <c r="BN36" s="232"/>
      <c r="BO36" s="67"/>
      <c r="BP36" s="231"/>
      <c r="BQ36" s="231"/>
      <c r="BR36" s="231"/>
      <c r="BS36" s="231"/>
      <c r="BT36" s="231"/>
      <c r="BU36" s="240"/>
    </row>
    <row r="37" spans="1:73" x14ac:dyDescent="0.25">
      <c r="A37" s="224"/>
      <c r="B37" s="215"/>
      <c r="C37" s="215"/>
      <c r="D37" s="215"/>
      <c r="E37" s="215"/>
      <c r="F37" s="215"/>
      <c r="G37" s="25"/>
      <c r="H37" s="215"/>
      <c r="I37" s="216"/>
      <c r="J37" s="224"/>
      <c r="K37" s="215"/>
      <c r="L37" s="215"/>
      <c r="M37" s="215"/>
      <c r="N37" s="215"/>
      <c r="O37" s="215"/>
      <c r="P37" s="25"/>
      <c r="Q37" s="27"/>
      <c r="R37" s="224"/>
      <c r="S37" s="215"/>
      <c r="T37" s="215"/>
      <c r="U37" s="215"/>
      <c r="V37" s="215"/>
      <c r="W37" s="215"/>
      <c r="X37" s="25"/>
      <c r="Y37" s="215"/>
      <c r="Z37" s="216"/>
      <c r="AA37" s="222"/>
      <c r="AB37" s="215"/>
      <c r="AC37" s="215"/>
      <c r="AD37" s="215"/>
      <c r="AE37" s="215"/>
      <c r="AF37" s="215"/>
      <c r="AG37" s="215"/>
      <c r="AH37" s="25"/>
      <c r="AI37" s="215"/>
      <c r="AJ37" s="216"/>
      <c r="AK37" s="246"/>
      <c r="AL37" s="247"/>
      <c r="AM37" s="247"/>
      <c r="AN37" s="247"/>
      <c r="AO37" s="247"/>
      <c r="AP37" s="247"/>
      <c r="AQ37" s="247"/>
      <c r="AR37" s="247"/>
      <c r="AS37" s="247"/>
      <c r="AT37" s="247"/>
      <c r="AU37" s="248"/>
      <c r="AV37" s="230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2"/>
      <c r="BM37" s="67"/>
      <c r="BN37" s="232"/>
      <c r="BO37" s="67"/>
      <c r="BP37" s="231"/>
      <c r="BQ37" s="231"/>
      <c r="BR37" s="231"/>
      <c r="BS37" s="231"/>
      <c r="BT37" s="231"/>
      <c r="BU37" s="240"/>
    </row>
    <row r="38" spans="1:73" x14ac:dyDescent="0.25">
      <c r="A38" s="224"/>
      <c r="B38" s="215"/>
      <c r="C38" s="215"/>
      <c r="D38" s="215"/>
      <c r="E38" s="215"/>
      <c r="F38" s="215"/>
      <c r="G38" s="25"/>
      <c r="H38" s="215"/>
      <c r="I38" s="216"/>
      <c r="J38" s="224"/>
      <c r="K38" s="215"/>
      <c r="L38" s="215"/>
      <c r="M38" s="215"/>
      <c r="N38" s="215"/>
      <c r="O38" s="215"/>
      <c r="P38" s="25"/>
      <c r="Q38" s="27"/>
      <c r="R38" s="224"/>
      <c r="S38" s="215"/>
      <c r="T38" s="215"/>
      <c r="U38" s="215"/>
      <c r="V38" s="215"/>
      <c r="W38" s="215"/>
      <c r="X38" s="25"/>
      <c r="Y38" s="215"/>
      <c r="Z38" s="216"/>
      <c r="AA38" s="222"/>
      <c r="AB38" s="215"/>
      <c r="AC38" s="215"/>
      <c r="AD38" s="215"/>
      <c r="AE38" s="215"/>
      <c r="AF38" s="215"/>
      <c r="AG38" s="215"/>
      <c r="AH38" s="25"/>
      <c r="AI38" s="215"/>
      <c r="AJ38" s="216"/>
      <c r="AK38" s="246"/>
      <c r="AL38" s="247"/>
      <c r="AM38" s="247"/>
      <c r="AN38" s="247"/>
      <c r="AO38" s="247"/>
      <c r="AP38" s="247"/>
      <c r="AQ38" s="247"/>
      <c r="AR38" s="247"/>
      <c r="AS38" s="247"/>
      <c r="AT38" s="247"/>
      <c r="AU38" s="248"/>
      <c r="AV38" s="230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2"/>
      <c r="BM38" s="67"/>
      <c r="BN38" s="232"/>
      <c r="BO38" s="67"/>
      <c r="BP38" s="231"/>
      <c r="BQ38" s="231"/>
      <c r="BR38" s="231"/>
      <c r="BS38" s="231"/>
      <c r="BT38" s="231"/>
      <c r="BU38" s="240"/>
    </row>
    <row r="39" spans="1:73" x14ac:dyDescent="0.25">
      <c r="A39" s="224"/>
      <c r="B39" s="215"/>
      <c r="C39" s="215"/>
      <c r="D39" s="215"/>
      <c r="E39" s="215"/>
      <c r="F39" s="215"/>
      <c r="G39" s="25"/>
      <c r="H39" s="215"/>
      <c r="I39" s="216"/>
      <c r="J39" s="224"/>
      <c r="K39" s="215"/>
      <c r="L39" s="215"/>
      <c r="M39" s="215"/>
      <c r="N39" s="215"/>
      <c r="O39" s="215"/>
      <c r="P39" s="25"/>
      <c r="Q39" s="27"/>
      <c r="R39" s="224"/>
      <c r="S39" s="215"/>
      <c r="T39" s="215"/>
      <c r="U39" s="215"/>
      <c r="V39" s="215"/>
      <c r="W39" s="215"/>
      <c r="X39" s="25"/>
      <c r="Y39" s="215"/>
      <c r="Z39" s="216"/>
      <c r="AA39" s="222"/>
      <c r="AB39" s="215"/>
      <c r="AC39" s="215"/>
      <c r="AD39" s="215"/>
      <c r="AE39" s="215"/>
      <c r="AF39" s="215"/>
      <c r="AG39" s="215"/>
      <c r="AH39" s="25"/>
      <c r="AI39" s="215"/>
      <c r="AJ39" s="216"/>
      <c r="AK39" s="246"/>
      <c r="AL39" s="247"/>
      <c r="AM39" s="247"/>
      <c r="AN39" s="247"/>
      <c r="AO39" s="247"/>
      <c r="AP39" s="247"/>
      <c r="AQ39" s="247"/>
      <c r="AR39" s="247"/>
      <c r="AS39" s="247"/>
      <c r="AT39" s="247"/>
      <c r="AU39" s="248"/>
      <c r="AV39" s="230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2"/>
      <c r="BM39" s="67"/>
      <c r="BN39" s="232"/>
      <c r="BO39" s="67"/>
      <c r="BP39" s="231"/>
      <c r="BQ39" s="231"/>
      <c r="BR39" s="231"/>
      <c r="BS39" s="231"/>
      <c r="BT39" s="231"/>
      <c r="BU39" s="240"/>
    </row>
    <row r="40" spans="1:73" x14ac:dyDescent="0.25">
      <c r="A40" s="224"/>
      <c r="B40" s="215"/>
      <c r="C40" s="215"/>
      <c r="D40" s="215"/>
      <c r="E40" s="215"/>
      <c r="F40" s="215"/>
      <c r="G40" s="25"/>
      <c r="H40" s="215"/>
      <c r="I40" s="216"/>
      <c r="J40" s="224"/>
      <c r="K40" s="215"/>
      <c r="L40" s="215"/>
      <c r="M40" s="215"/>
      <c r="N40" s="215"/>
      <c r="O40" s="215"/>
      <c r="P40" s="25"/>
      <c r="Q40" s="27"/>
      <c r="R40" s="224"/>
      <c r="S40" s="215"/>
      <c r="T40" s="215"/>
      <c r="U40" s="215"/>
      <c r="V40" s="215"/>
      <c r="W40" s="215"/>
      <c r="X40" s="25"/>
      <c r="Y40" s="215"/>
      <c r="Z40" s="216"/>
      <c r="AA40" s="222"/>
      <c r="AB40" s="215"/>
      <c r="AC40" s="215"/>
      <c r="AD40" s="215"/>
      <c r="AE40" s="215"/>
      <c r="AF40" s="215"/>
      <c r="AG40" s="215"/>
      <c r="AH40" s="25"/>
      <c r="AI40" s="215"/>
      <c r="AJ40" s="216"/>
      <c r="AK40" s="246"/>
      <c r="AL40" s="247"/>
      <c r="AM40" s="247"/>
      <c r="AN40" s="247"/>
      <c r="AO40" s="247"/>
      <c r="AP40" s="247"/>
      <c r="AQ40" s="247"/>
      <c r="AR40" s="247"/>
      <c r="AS40" s="247"/>
      <c r="AT40" s="247"/>
      <c r="AU40" s="248"/>
      <c r="AV40" s="230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2"/>
      <c r="BM40" s="67"/>
      <c r="BN40" s="232"/>
      <c r="BO40" s="67"/>
      <c r="BP40" s="231"/>
      <c r="BQ40" s="231"/>
      <c r="BR40" s="231"/>
      <c r="BS40" s="231"/>
      <c r="BT40" s="231"/>
      <c r="BU40" s="240"/>
    </row>
    <row r="41" spans="1:73" x14ac:dyDescent="0.25">
      <c r="A41" s="224"/>
      <c r="B41" s="215"/>
      <c r="C41" s="215"/>
      <c r="D41" s="215"/>
      <c r="E41" s="215"/>
      <c r="F41" s="215"/>
      <c r="G41" s="25"/>
      <c r="H41" s="215"/>
      <c r="I41" s="216"/>
      <c r="J41" s="224"/>
      <c r="K41" s="215"/>
      <c r="L41" s="215"/>
      <c r="M41" s="215"/>
      <c r="N41" s="215"/>
      <c r="O41" s="215"/>
      <c r="P41" s="25"/>
      <c r="Q41" s="27"/>
      <c r="R41" s="224"/>
      <c r="S41" s="215"/>
      <c r="T41" s="215"/>
      <c r="U41" s="215"/>
      <c r="V41" s="215"/>
      <c r="W41" s="215"/>
      <c r="X41" s="25"/>
      <c r="Y41" s="215"/>
      <c r="Z41" s="216"/>
      <c r="AA41" s="222"/>
      <c r="AB41" s="215"/>
      <c r="AC41" s="215"/>
      <c r="AD41" s="215"/>
      <c r="AE41" s="215"/>
      <c r="AF41" s="215"/>
      <c r="AG41" s="215"/>
      <c r="AH41" s="25"/>
      <c r="AI41" s="215"/>
      <c r="AJ41" s="216"/>
      <c r="AK41" s="246"/>
      <c r="AL41" s="247"/>
      <c r="AM41" s="247"/>
      <c r="AN41" s="247"/>
      <c r="AO41" s="247"/>
      <c r="AP41" s="247"/>
      <c r="AQ41" s="247"/>
      <c r="AR41" s="247"/>
      <c r="AS41" s="247"/>
      <c r="AT41" s="247"/>
      <c r="AU41" s="248"/>
      <c r="AV41" s="230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2"/>
      <c r="BM41" s="67"/>
      <c r="BN41" s="232"/>
      <c r="BO41" s="67"/>
      <c r="BP41" s="231"/>
      <c r="BQ41" s="231"/>
      <c r="BR41" s="231"/>
      <c r="BS41" s="231"/>
      <c r="BT41" s="231"/>
      <c r="BU41" s="240"/>
    </row>
    <row r="42" spans="1:73" x14ac:dyDescent="0.25">
      <c r="A42" s="224"/>
      <c r="B42" s="215"/>
      <c r="C42" s="215"/>
      <c r="D42" s="215"/>
      <c r="E42" s="215"/>
      <c r="F42" s="215"/>
      <c r="G42" s="25"/>
      <c r="H42" s="215"/>
      <c r="I42" s="216"/>
      <c r="J42" s="224"/>
      <c r="K42" s="215"/>
      <c r="L42" s="215"/>
      <c r="M42" s="215"/>
      <c r="N42" s="215"/>
      <c r="O42" s="215"/>
      <c r="P42" s="25"/>
      <c r="Q42" s="27"/>
      <c r="R42" s="224"/>
      <c r="S42" s="215"/>
      <c r="T42" s="215"/>
      <c r="U42" s="215"/>
      <c r="V42" s="215"/>
      <c r="W42" s="215"/>
      <c r="X42" s="25"/>
      <c r="Y42" s="215"/>
      <c r="Z42" s="216"/>
      <c r="AA42" s="222"/>
      <c r="AB42" s="215"/>
      <c r="AC42" s="215"/>
      <c r="AD42" s="215"/>
      <c r="AE42" s="215"/>
      <c r="AF42" s="215"/>
      <c r="AG42" s="215"/>
      <c r="AH42" s="25"/>
      <c r="AI42" s="215"/>
      <c r="AJ42" s="216"/>
      <c r="AK42" s="246"/>
      <c r="AL42" s="247"/>
      <c r="AM42" s="247"/>
      <c r="AN42" s="247"/>
      <c r="AO42" s="247"/>
      <c r="AP42" s="247"/>
      <c r="AQ42" s="247"/>
      <c r="AR42" s="247"/>
      <c r="AS42" s="247"/>
      <c r="AT42" s="247"/>
      <c r="AU42" s="248"/>
      <c r="AV42" s="230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2"/>
      <c r="BM42" s="67"/>
      <c r="BN42" s="232"/>
      <c r="BO42" s="67"/>
      <c r="BP42" s="231"/>
      <c r="BQ42" s="231"/>
      <c r="BR42" s="231"/>
      <c r="BS42" s="231"/>
      <c r="BT42" s="231"/>
      <c r="BU42" s="240"/>
    </row>
    <row r="43" spans="1:73" x14ac:dyDescent="0.25">
      <c r="A43" s="224"/>
      <c r="B43" s="215"/>
      <c r="C43" s="215"/>
      <c r="D43" s="215"/>
      <c r="E43" s="215"/>
      <c r="F43" s="215"/>
      <c r="G43" s="25"/>
      <c r="H43" s="215"/>
      <c r="I43" s="216"/>
      <c r="J43" s="224"/>
      <c r="K43" s="215"/>
      <c r="L43" s="215"/>
      <c r="M43" s="215"/>
      <c r="N43" s="215"/>
      <c r="O43" s="215"/>
      <c r="P43" s="25"/>
      <c r="Q43" s="27"/>
      <c r="R43" s="224"/>
      <c r="S43" s="215"/>
      <c r="T43" s="215"/>
      <c r="U43" s="215"/>
      <c r="V43" s="215"/>
      <c r="W43" s="215"/>
      <c r="X43" s="25"/>
      <c r="Y43" s="215"/>
      <c r="Z43" s="216"/>
      <c r="AA43" s="222"/>
      <c r="AB43" s="215"/>
      <c r="AC43" s="215"/>
      <c r="AD43" s="215"/>
      <c r="AE43" s="215"/>
      <c r="AF43" s="215"/>
      <c r="AG43" s="215"/>
      <c r="AH43" s="25"/>
      <c r="AI43" s="215"/>
      <c r="AJ43" s="216"/>
      <c r="AK43" s="246"/>
      <c r="AL43" s="247"/>
      <c r="AM43" s="247"/>
      <c r="AN43" s="247"/>
      <c r="AO43" s="247"/>
      <c r="AP43" s="247"/>
      <c r="AQ43" s="247"/>
      <c r="AR43" s="247"/>
      <c r="AS43" s="247"/>
      <c r="AT43" s="247"/>
      <c r="AU43" s="248"/>
      <c r="AV43" s="230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2"/>
      <c r="BM43" s="67"/>
      <c r="BN43" s="232"/>
      <c r="BO43" s="67"/>
      <c r="BP43" s="231"/>
      <c r="BQ43" s="231"/>
      <c r="BR43" s="231"/>
      <c r="BS43" s="231"/>
      <c r="BT43" s="231"/>
      <c r="BU43" s="240"/>
    </row>
    <row r="44" spans="1:73" x14ac:dyDescent="0.25">
      <c r="A44" s="224"/>
      <c r="B44" s="215"/>
      <c r="C44" s="215"/>
      <c r="D44" s="215"/>
      <c r="E44" s="215"/>
      <c r="F44" s="215"/>
      <c r="G44" s="25"/>
      <c r="H44" s="215"/>
      <c r="I44" s="216"/>
      <c r="J44" s="224"/>
      <c r="K44" s="215"/>
      <c r="L44" s="215"/>
      <c r="M44" s="215"/>
      <c r="N44" s="215"/>
      <c r="O44" s="215"/>
      <c r="P44" s="25"/>
      <c r="Q44" s="27"/>
      <c r="R44" s="224"/>
      <c r="S44" s="215"/>
      <c r="T44" s="215"/>
      <c r="U44" s="215"/>
      <c r="V44" s="215"/>
      <c r="W44" s="215"/>
      <c r="X44" s="25"/>
      <c r="Y44" s="215"/>
      <c r="Z44" s="216"/>
      <c r="AA44" s="222"/>
      <c r="AB44" s="215"/>
      <c r="AC44" s="215"/>
      <c r="AD44" s="215"/>
      <c r="AE44" s="215"/>
      <c r="AF44" s="215"/>
      <c r="AG44" s="215"/>
      <c r="AH44" s="25"/>
      <c r="AI44" s="215"/>
      <c r="AJ44" s="216"/>
      <c r="AK44" s="246"/>
      <c r="AL44" s="247"/>
      <c r="AM44" s="247"/>
      <c r="AN44" s="247"/>
      <c r="AO44" s="247"/>
      <c r="AP44" s="247"/>
      <c r="AQ44" s="247"/>
      <c r="AR44" s="247"/>
      <c r="AS44" s="247"/>
      <c r="AT44" s="247"/>
      <c r="AU44" s="248"/>
      <c r="AV44" s="230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2"/>
      <c r="BM44" s="67"/>
      <c r="BN44" s="232"/>
      <c r="BO44" s="67"/>
      <c r="BP44" s="231"/>
      <c r="BQ44" s="231"/>
      <c r="BR44" s="231"/>
      <c r="BS44" s="231"/>
      <c r="BT44" s="231"/>
      <c r="BU44" s="240"/>
    </row>
    <row r="45" spans="1:73" x14ac:dyDescent="0.25">
      <c r="A45" s="224"/>
      <c r="B45" s="215"/>
      <c r="C45" s="215"/>
      <c r="D45" s="215"/>
      <c r="E45" s="215"/>
      <c r="F45" s="215"/>
      <c r="G45" s="25"/>
      <c r="H45" s="215"/>
      <c r="I45" s="216"/>
      <c r="J45" s="224"/>
      <c r="K45" s="215"/>
      <c r="L45" s="215"/>
      <c r="M45" s="215"/>
      <c r="N45" s="215"/>
      <c r="O45" s="215"/>
      <c r="P45" s="25"/>
      <c r="Q45" s="27"/>
      <c r="R45" s="224"/>
      <c r="S45" s="215"/>
      <c r="T45" s="215"/>
      <c r="U45" s="215"/>
      <c r="V45" s="215"/>
      <c r="W45" s="215"/>
      <c r="X45" s="25"/>
      <c r="Y45" s="215"/>
      <c r="Z45" s="216"/>
      <c r="AA45" s="222"/>
      <c r="AB45" s="215"/>
      <c r="AC45" s="215"/>
      <c r="AD45" s="215"/>
      <c r="AE45" s="215"/>
      <c r="AF45" s="215"/>
      <c r="AG45" s="215"/>
      <c r="AH45" s="25"/>
      <c r="AI45" s="215"/>
      <c r="AJ45" s="216"/>
      <c r="AK45" s="246"/>
      <c r="AL45" s="247"/>
      <c r="AM45" s="247"/>
      <c r="AN45" s="247"/>
      <c r="AO45" s="247"/>
      <c r="AP45" s="247"/>
      <c r="AQ45" s="247"/>
      <c r="AR45" s="247"/>
      <c r="AS45" s="247"/>
      <c r="AT45" s="247"/>
      <c r="AU45" s="248"/>
      <c r="AV45" s="230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2"/>
      <c r="BM45" s="67"/>
      <c r="BN45" s="232"/>
      <c r="BO45" s="67"/>
      <c r="BP45" s="231"/>
      <c r="BQ45" s="231"/>
      <c r="BR45" s="231"/>
      <c r="BS45" s="231"/>
      <c r="BT45" s="231"/>
      <c r="BU45" s="240"/>
    </row>
    <row r="46" spans="1:73" ht="15.75" thickBot="1" x14ac:dyDescent="0.3">
      <c r="A46" s="223"/>
      <c r="B46" s="217"/>
      <c r="C46" s="217"/>
      <c r="D46" s="217"/>
      <c r="E46" s="217"/>
      <c r="F46" s="217"/>
      <c r="G46" s="26"/>
      <c r="H46" s="217"/>
      <c r="I46" s="218"/>
      <c r="J46" s="223"/>
      <c r="K46" s="217"/>
      <c r="L46" s="217"/>
      <c r="M46" s="217"/>
      <c r="N46" s="217"/>
      <c r="O46" s="217"/>
      <c r="P46" s="26"/>
      <c r="Q46" s="28"/>
      <c r="R46" s="223"/>
      <c r="S46" s="217"/>
      <c r="T46" s="217"/>
      <c r="U46" s="217"/>
      <c r="V46" s="217"/>
      <c r="W46" s="217"/>
      <c r="X46" s="26"/>
      <c r="Y46" s="217"/>
      <c r="Z46" s="218"/>
      <c r="AA46" s="227"/>
      <c r="AB46" s="217"/>
      <c r="AC46" s="217"/>
      <c r="AD46" s="217"/>
      <c r="AE46" s="217"/>
      <c r="AF46" s="217"/>
      <c r="AG46" s="217"/>
      <c r="AH46" s="26"/>
      <c r="AI46" s="217"/>
      <c r="AJ46" s="218"/>
      <c r="AK46" s="249"/>
      <c r="AL46" s="250"/>
      <c r="AM46" s="250"/>
      <c r="AN46" s="250"/>
      <c r="AO46" s="250"/>
      <c r="AP46" s="250"/>
      <c r="AQ46" s="250"/>
      <c r="AR46" s="250"/>
      <c r="AS46" s="250"/>
      <c r="AT46" s="250"/>
      <c r="AU46" s="251"/>
      <c r="AV46" s="236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41"/>
      <c r="BM46" s="242"/>
      <c r="BN46" s="241"/>
      <c r="BO46" s="242"/>
      <c r="BP46" s="237"/>
      <c r="BQ46" s="237"/>
      <c r="BR46" s="237"/>
      <c r="BS46" s="237"/>
      <c r="BT46" s="237"/>
      <c r="BU46" s="238"/>
    </row>
  </sheetData>
  <mergeCells count="518">
    <mergeCell ref="A27:F27"/>
    <mergeCell ref="G27:H27"/>
    <mergeCell ref="A28:F28"/>
    <mergeCell ref="G28:H28"/>
    <mergeCell ref="A29:F29"/>
    <mergeCell ref="G29:H29"/>
    <mergeCell ref="G22:H22"/>
    <mergeCell ref="A23:F23"/>
    <mergeCell ref="G23:H23"/>
    <mergeCell ref="A24:F24"/>
    <mergeCell ref="G24:H24"/>
    <mergeCell ref="A25:F25"/>
    <mergeCell ref="G25:H25"/>
    <mergeCell ref="A26:F26"/>
    <mergeCell ref="G26:H26"/>
    <mergeCell ref="AK4:AU46"/>
    <mergeCell ref="BO32:BU32"/>
    <mergeCell ref="BO33:BU33"/>
    <mergeCell ref="BO34:BU34"/>
    <mergeCell ref="BO35:BU35"/>
    <mergeCell ref="BO36:BU36"/>
    <mergeCell ref="BO37:BU37"/>
    <mergeCell ref="BO38:BU38"/>
    <mergeCell ref="BO39:BU39"/>
    <mergeCell ref="BO40:BU40"/>
    <mergeCell ref="BO23:BU23"/>
    <mergeCell ref="BO24:BU24"/>
    <mergeCell ref="BO25:BU25"/>
    <mergeCell ref="BO26:BU26"/>
    <mergeCell ref="BO27:BU27"/>
    <mergeCell ref="BO28:BU28"/>
    <mergeCell ref="BO29:BU29"/>
    <mergeCell ref="BM42:BN42"/>
    <mergeCell ref="BM43:BN43"/>
    <mergeCell ref="BO14:BU14"/>
    <mergeCell ref="BO15:BU15"/>
    <mergeCell ref="BO16:BU16"/>
    <mergeCell ref="BO17:BU17"/>
    <mergeCell ref="BO18:BU18"/>
    <mergeCell ref="BO19:BU19"/>
    <mergeCell ref="BO20:BU20"/>
    <mergeCell ref="BO21:BU21"/>
    <mergeCell ref="BM41:BN41"/>
    <mergeCell ref="BO22:BU22"/>
    <mergeCell ref="BO41:BU41"/>
    <mergeCell ref="BM20:BN20"/>
    <mergeCell ref="BO5:BU5"/>
    <mergeCell ref="BO6:BU6"/>
    <mergeCell ref="BO7:BU7"/>
    <mergeCell ref="BO8:BU8"/>
    <mergeCell ref="BO9:BU9"/>
    <mergeCell ref="BO10:BU10"/>
    <mergeCell ref="BO11:BU11"/>
    <mergeCell ref="BO12:BU12"/>
    <mergeCell ref="BO13:BU13"/>
    <mergeCell ref="BM21:BN21"/>
    <mergeCell ref="BM22:BN22"/>
    <mergeCell ref="BM40:BN40"/>
    <mergeCell ref="BM23:BN23"/>
    <mergeCell ref="BM24:BN24"/>
    <mergeCell ref="BM25:BN25"/>
    <mergeCell ref="BM26:BN26"/>
    <mergeCell ref="BM27:BN27"/>
    <mergeCell ref="BM37:BN37"/>
    <mergeCell ref="BM38:BN38"/>
    <mergeCell ref="BM39:BN39"/>
    <mergeCell ref="BM11:BN11"/>
    <mergeCell ref="BM12:BN12"/>
    <mergeCell ref="BM13:BN13"/>
    <mergeCell ref="BM14:BN14"/>
    <mergeCell ref="BM15:BN15"/>
    <mergeCell ref="BM16:BN16"/>
    <mergeCell ref="BM17:BN17"/>
    <mergeCell ref="BM18:BN18"/>
    <mergeCell ref="BM19:BN19"/>
    <mergeCell ref="BM28:BN28"/>
    <mergeCell ref="BM29:BN29"/>
    <mergeCell ref="BM30:BN30"/>
    <mergeCell ref="BM31:BN31"/>
    <mergeCell ref="BM32:BN32"/>
    <mergeCell ref="BM33:BN33"/>
    <mergeCell ref="BM34:BN34"/>
    <mergeCell ref="BM35:BN35"/>
    <mergeCell ref="BM36:BN36"/>
    <mergeCell ref="AV39:BL39"/>
    <mergeCell ref="AV40:BL40"/>
    <mergeCell ref="AV41:BL41"/>
    <mergeCell ref="AV42:BL42"/>
    <mergeCell ref="AV43:BL43"/>
    <mergeCell ref="AV44:BL44"/>
    <mergeCell ref="AV45:BL45"/>
    <mergeCell ref="AV46:BL46"/>
    <mergeCell ref="BO30:BU30"/>
    <mergeCell ref="BO31:BU31"/>
    <mergeCell ref="BM44:BN44"/>
    <mergeCell ref="BM45:BN45"/>
    <mergeCell ref="BM46:BN46"/>
    <mergeCell ref="BO42:BU42"/>
    <mergeCell ref="BO43:BU43"/>
    <mergeCell ref="BO44:BU44"/>
    <mergeCell ref="BO45:BU45"/>
    <mergeCell ref="BO46:BU46"/>
    <mergeCell ref="AV30:BL30"/>
    <mergeCell ref="AV31:BL31"/>
    <mergeCell ref="AV32:BL32"/>
    <mergeCell ref="AV33:BL33"/>
    <mergeCell ref="AV34:BL34"/>
    <mergeCell ref="AV35:BL35"/>
    <mergeCell ref="AV36:BL36"/>
    <mergeCell ref="AV37:BL37"/>
    <mergeCell ref="AV38:BL38"/>
    <mergeCell ref="AV21:BL21"/>
    <mergeCell ref="AV22:BL22"/>
    <mergeCell ref="AV23:BL23"/>
    <mergeCell ref="AV24:BL24"/>
    <mergeCell ref="AV25:BL25"/>
    <mergeCell ref="AV26:BL26"/>
    <mergeCell ref="AV27:BL27"/>
    <mergeCell ref="AV28:BL28"/>
    <mergeCell ref="AV29:BL29"/>
    <mergeCell ref="AV12:BL12"/>
    <mergeCell ref="AV13:BL13"/>
    <mergeCell ref="AV14:BL14"/>
    <mergeCell ref="AV15:BL15"/>
    <mergeCell ref="AV16:BL16"/>
    <mergeCell ref="AV17:BL17"/>
    <mergeCell ref="AV18:BL18"/>
    <mergeCell ref="AV19:BL19"/>
    <mergeCell ref="AV20:BL20"/>
    <mergeCell ref="R38:W38"/>
    <mergeCell ref="AV5:BL5"/>
    <mergeCell ref="AV6:BL6"/>
    <mergeCell ref="AV7:BL7"/>
    <mergeCell ref="AV8:BL8"/>
    <mergeCell ref="AV9:BL9"/>
    <mergeCell ref="AV10:BL10"/>
    <mergeCell ref="AK1:AS1"/>
    <mergeCell ref="AT1:BU1"/>
    <mergeCell ref="AK2:BU2"/>
    <mergeCell ref="AK3:AU3"/>
    <mergeCell ref="BO4:BU4"/>
    <mergeCell ref="BO3:BU3"/>
    <mergeCell ref="BM3:BN3"/>
    <mergeCell ref="BM4:BN4"/>
    <mergeCell ref="AV4:BL4"/>
    <mergeCell ref="AV3:BL3"/>
    <mergeCell ref="BM5:BN5"/>
    <mergeCell ref="BM6:BN6"/>
    <mergeCell ref="BM7:BN7"/>
    <mergeCell ref="BM8:BN8"/>
    <mergeCell ref="BM9:BN9"/>
    <mergeCell ref="BM10:BN10"/>
    <mergeCell ref="AV11:BL11"/>
    <mergeCell ref="R30:W30"/>
    <mergeCell ref="A43:F43"/>
    <mergeCell ref="A44:F44"/>
    <mergeCell ref="A45:F45"/>
    <mergeCell ref="Y44:Z44"/>
    <mergeCell ref="Y45:Z45"/>
    <mergeCell ref="Y46:Z46"/>
    <mergeCell ref="Y31:Z31"/>
    <mergeCell ref="Y32:Z32"/>
    <mergeCell ref="Y33:Z33"/>
    <mergeCell ref="Y34:Z34"/>
    <mergeCell ref="Y35:Z35"/>
    <mergeCell ref="Y36:Z36"/>
    <mergeCell ref="Y37:Z37"/>
    <mergeCell ref="Y38:Z38"/>
    <mergeCell ref="Y39:Z39"/>
    <mergeCell ref="R40:W40"/>
    <mergeCell ref="R41:W41"/>
    <mergeCell ref="R42:W42"/>
    <mergeCell ref="R43:W43"/>
    <mergeCell ref="R44:W44"/>
    <mergeCell ref="R45:W45"/>
    <mergeCell ref="J39:O39"/>
    <mergeCell ref="R37:W37"/>
    <mergeCell ref="J40:O40"/>
    <mergeCell ref="J37:O37"/>
    <mergeCell ref="J38:O38"/>
    <mergeCell ref="J41:O41"/>
    <mergeCell ref="J42:O42"/>
    <mergeCell ref="A30:F30"/>
    <mergeCell ref="H30:I30"/>
    <mergeCell ref="J30:O30"/>
    <mergeCell ref="A31:F31"/>
    <mergeCell ref="A32:F32"/>
    <mergeCell ref="J32:O32"/>
    <mergeCell ref="J33:O33"/>
    <mergeCell ref="J34:O34"/>
    <mergeCell ref="J35:O35"/>
    <mergeCell ref="A33:F33"/>
    <mergeCell ref="A34:F34"/>
    <mergeCell ref="A35:F35"/>
    <mergeCell ref="J31:O31"/>
    <mergeCell ref="Y30:Z30"/>
    <mergeCell ref="AA43:AG43"/>
    <mergeCell ref="AA44:AG44"/>
    <mergeCell ref="AA45:AG45"/>
    <mergeCell ref="AA46:AG46"/>
    <mergeCell ref="AA34:AF34"/>
    <mergeCell ref="AG34:AH34"/>
    <mergeCell ref="J43:O43"/>
    <mergeCell ref="J44:O44"/>
    <mergeCell ref="J45:O45"/>
    <mergeCell ref="J46:O46"/>
    <mergeCell ref="R46:W46"/>
    <mergeCell ref="R31:W31"/>
    <mergeCell ref="R32:W32"/>
    <mergeCell ref="R33:W33"/>
    <mergeCell ref="R34:W34"/>
    <mergeCell ref="R35:W35"/>
    <mergeCell ref="R36:W36"/>
    <mergeCell ref="J36:O36"/>
    <mergeCell ref="Y40:Z40"/>
    <mergeCell ref="Y41:Z41"/>
    <mergeCell ref="Y42:Z42"/>
    <mergeCell ref="Y43:Z43"/>
    <mergeCell ref="R39:W39"/>
    <mergeCell ref="A46:F46"/>
    <mergeCell ref="H31:I31"/>
    <mergeCell ref="H32:I32"/>
    <mergeCell ref="H33:I33"/>
    <mergeCell ref="H34:I34"/>
    <mergeCell ref="H35:I35"/>
    <mergeCell ref="H36:I36"/>
    <mergeCell ref="H37:I37"/>
    <mergeCell ref="H41:I41"/>
    <mergeCell ref="H42:I42"/>
    <mergeCell ref="H43:I43"/>
    <mergeCell ref="H39:I39"/>
    <mergeCell ref="H40:I40"/>
    <mergeCell ref="H44:I44"/>
    <mergeCell ref="H45:I45"/>
    <mergeCell ref="H46:I46"/>
    <mergeCell ref="H38:I38"/>
    <mergeCell ref="A40:F40"/>
    <mergeCell ref="A36:F36"/>
    <mergeCell ref="A37:F37"/>
    <mergeCell ref="A38:F38"/>
    <mergeCell ref="A39:F39"/>
    <mergeCell ref="A41:F41"/>
    <mergeCell ref="A42:F42"/>
    <mergeCell ref="AI45:AJ45"/>
    <mergeCell ref="AI46:AJ46"/>
    <mergeCell ref="AA35:AG35"/>
    <mergeCell ref="AI35:AJ35"/>
    <mergeCell ref="AA36:AG36"/>
    <mergeCell ref="AA37:AG37"/>
    <mergeCell ref="AA38:AG38"/>
    <mergeCell ref="AA39:AG39"/>
    <mergeCell ref="AA40:AG40"/>
    <mergeCell ref="AA41:AG41"/>
    <mergeCell ref="AA42:AG42"/>
    <mergeCell ref="AI36:AJ36"/>
    <mergeCell ref="AI37:AJ37"/>
    <mergeCell ref="AI38:AJ38"/>
    <mergeCell ref="AI39:AJ39"/>
    <mergeCell ref="AI40:AJ40"/>
    <mergeCell ref="AI41:AJ41"/>
    <mergeCell ref="AI42:AJ42"/>
    <mergeCell ref="AI43:AJ43"/>
    <mergeCell ref="AI44:AJ44"/>
    <mergeCell ref="M29:N29"/>
    <mergeCell ref="P29:Q29"/>
    <mergeCell ref="AA23:AH23"/>
    <mergeCell ref="AI23:AJ23"/>
    <mergeCell ref="AA24:AG24"/>
    <mergeCell ref="AH24:AJ24"/>
    <mergeCell ref="S20:T20"/>
    <mergeCell ref="V20:W20"/>
    <mergeCell ref="S21:T21"/>
    <mergeCell ref="V21:W21"/>
    <mergeCell ref="S22:T22"/>
    <mergeCell ref="V22:W22"/>
    <mergeCell ref="S23:T23"/>
    <mergeCell ref="V23:W23"/>
    <mergeCell ref="S24:T24"/>
    <mergeCell ref="V24:W24"/>
    <mergeCell ref="AI20:AJ20"/>
    <mergeCell ref="AD20:AE20"/>
    <mergeCell ref="AA21:AC21"/>
    <mergeCell ref="AF21:AH21"/>
    <mergeCell ref="AD21:AE21"/>
    <mergeCell ref="AI21:AJ21"/>
    <mergeCell ref="X26:Z26"/>
    <mergeCell ref="X27:Z27"/>
    <mergeCell ref="X19:Z19"/>
    <mergeCell ref="X20:Z20"/>
    <mergeCell ref="X21:Z21"/>
    <mergeCell ref="X22:Z22"/>
    <mergeCell ref="X23:Z23"/>
    <mergeCell ref="X24:Z24"/>
    <mergeCell ref="X25:Z25"/>
    <mergeCell ref="I29:K29"/>
    <mergeCell ref="M23:N23"/>
    <mergeCell ref="M24:N24"/>
    <mergeCell ref="M25:N25"/>
    <mergeCell ref="M26:N26"/>
    <mergeCell ref="M27:N27"/>
    <mergeCell ref="M28:N28"/>
    <mergeCell ref="V27:W27"/>
    <mergeCell ref="V28:W28"/>
    <mergeCell ref="V29:W29"/>
    <mergeCell ref="S25:T25"/>
    <mergeCell ref="V25:W25"/>
    <mergeCell ref="S26:T26"/>
    <mergeCell ref="V26:W26"/>
    <mergeCell ref="S27:T27"/>
    <mergeCell ref="S28:T28"/>
    <mergeCell ref="S29:T29"/>
    <mergeCell ref="X28:Z28"/>
    <mergeCell ref="X29:Z29"/>
    <mergeCell ref="U17:W17"/>
    <mergeCell ref="U18:W18"/>
    <mergeCell ref="U19:W19"/>
    <mergeCell ref="I23:K23"/>
    <mergeCell ref="I24:K24"/>
    <mergeCell ref="I25:K25"/>
    <mergeCell ref="I26:K26"/>
    <mergeCell ref="I27:K27"/>
    <mergeCell ref="I28:K28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M20:N20"/>
    <mergeCell ref="M21:N21"/>
    <mergeCell ref="M22:N22"/>
    <mergeCell ref="I20:K20"/>
    <mergeCell ref="I21:K21"/>
    <mergeCell ref="I22:K22"/>
    <mergeCell ref="L17:N17"/>
    <mergeCell ref="L18:N18"/>
    <mergeCell ref="L19:N19"/>
    <mergeCell ref="O17:Q17"/>
    <mergeCell ref="O18:Q18"/>
    <mergeCell ref="O19:Q19"/>
    <mergeCell ref="I17:K17"/>
    <mergeCell ref="I18:K18"/>
    <mergeCell ref="I19:K19"/>
    <mergeCell ref="A17:F17"/>
    <mergeCell ref="A18:F18"/>
    <mergeCell ref="A19:F19"/>
    <mergeCell ref="G17:H19"/>
    <mergeCell ref="A20:F20"/>
    <mergeCell ref="G20:H20"/>
    <mergeCell ref="A21:F21"/>
    <mergeCell ref="G21:H21"/>
    <mergeCell ref="A22:F22"/>
    <mergeCell ref="A14:H14"/>
    <mergeCell ref="A15:H15"/>
    <mergeCell ref="X15:Z16"/>
    <mergeCell ref="I15:K16"/>
    <mergeCell ref="L15:N16"/>
    <mergeCell ref="O15:Q16"/>
    <mergeCell ref="R15:T16"/>
    <mergeCell ref="U15:W16"/>
    <mergeCell ref="S14:T14"/>
    <mergeCell ref="I14:R14"/>
    <mergeCell ref="A16:D16"/>
    <mergeCell ref="E16:H16"/>
    <mergeCell ref="R18:T18"/>
    <mergeCell ref="R19:T19"/>
    <mergeCell ref="AA20:AC20"/>
    <mergeCell ref="AF20:AH20"/>
    <mergeCell ref="AE13:AJ13"/>
    <mergeCell ref="AA16:AE16"/>
    <mergeCell ref="AF16:AJ16"/>
    <mergeCell ref="AA17:AB17"/>
    <mergeCell ref="AC17:AE17"/>
    <mergeCell ref="AF17:AG17"/>
    <mergeCell ref="AH17:AJ17"/>
    <mergeCell ref="AA18:AC18"/>
    <mergeCell ref="AD18:AE18"/>
    <mergeCell ref="AF18:AH18"/>
    <mergeCell ref="AI18:AJ18"/>
    <mergeCell ref="AA19:AC19"/>
    <mergeCell ref="AD19:AE19"/>
    <mergeCell ref="AF19:AH19"/>
    <mergeCell ref="AI19:AJ19"/>
    <mergeCell ref="U14:W14"/>
    <mergeCell ref="X14:Z14"/>
    <mergeCell ref="AC15:AJ15"/>
    <mergeCell ref="X17:Z17"/>
    <mergeCell ref="X18:Z18"/>
    <mergeCell ref="R12:T12"/>
    <mergeCell ref="U12:V12"/>
    <mergeCell ref="AC14:AJ14"/>
    <mergeCell ref="AA13:AD13"/>
    <mergeCell ref="AA15:AB15"/>
    <mergeCell ref="W12:Z12"/>
    <mergeCell ref="AA12:AD12"/>
    <mergeCell ref="AA14:AB14"/>
    <mergeCell ref="R17:T17"/>
    <mergeCell ref="G5:H5"/>
    <mergeCell ref="G6:H6"/>
    <mergeCell ref="G11:H11"/>
    <mergeCell ref="AH5:AJ5"/>
    <mergeCell ref="AH6:AJ6"/>
    <mergeCell ref="AH7:AJ7"/>
    <mergeCell ref="AH9:AJ9"/>
    <mergeCell ref="P7:T7"/>
    <mergeCell ref="P6:T6"/>
    <mergeCell ref="U5:W5"/>
    <mergeCell ref="X5:Z5"/>
    <mergeCell ref="P5:T5"/>
    <mergeCell ref="U6:W6"/>
    <mergeCell ref="V7:Z7"/>
    <mergeCell ref="X6:Z6"/>
    <mergeCell ref="AH8:AJ8"/>
    <mergeCell ref="W11:Z11"/>
    <mergeCell ref="AA5:AG5"/>
    <mergeCell ref="AA6:AG6"/>
    <mergeCell ref="AH10:AJ10"/>
    <mergeCell ref="AA11:AD11"/>
    <mergeCell ref="AE11:AJ11"/>
    <mergeCell ref="I13:K13"/>
    <mergeCell ref="L13:T13"/>
    <mergeCell ref="U13:V13"/>
    <mergeCell ref="X13:Y13"/>
    <mergeCell ref="AA7:AG7"/>
    <mergeCell ref="AA8:AG8"/>
    <mergeCell ref="AA10:AG10"/>
    <mergeCell ref="P10:Z10"/>
    <mergeCell ref="I8:O8"/>
    <mergeCell ref="I9:O9"/>
    <mergeCell ref="I10:O10"/>
    <mergeCell ref="I11:J11"/>
    <mergeCell ref="K11:M11"/>
    <mergeCell ref="N11:Q11"/>
    <mergeCell ref="I7:O7"/>
    <mergeCell ref="R11:T11"/>
    <mergeCell ref="U11:V11"/>
    <mergeCell ref="P8:Z8"/>
    <mergeCell ref="P9:Z9"/>
    <mergeCell ref="AA9:AG9"/>
    <mergeCell ref="I12:K12"/>
    <mergeCell ref="L12:N12"/>
    <mergeCell ref="AE12:AJ12"/>
    <mergeCell ref="O12:Q12"/>
    <mergeCell ref="X1:AJ1"/>
    <mergeCell ref="F1:S1"/>
    <mergeCell ref="P3:U3"/>
    <mergeCell ref="Y4:Z4"/>
    <mergeCell ref="V4:X4"/>
    <mergeCell ref="P4:U4"/>
    <mergeCell ref="P2:Z2"/>
    <mergeCell ref="AA2:AJ2"/>
    <mergeCell ref="AA3:AG3"/>
    <mergeCell ref="AA4:AG4"/>
    <mergeCell ref="I2:O2"/>
    <mergeCell ref="I3:O3"/>
    <mergeCell ref="I4:O4"/>
    <mergeCell ref="G3:H3"/>
    <mergeCell ref="G4:H4"/>
    <mergeCell ref="AH3:AJ3"/>
    <mergeCell ref="AH4:AJ4"/>
    <mergeCell ref="A2:F2"/>
    <mergeCell ref="Y3:Z3"/>
    <mergeCell ref="V3:X3"/>
    <mergeCell ref="G12:H12"/>
    <mergeCell ref="A13:F13"/>
    <mergeCell ref="G13:H13"/>
    <mergeCell ref="A12:E12"/>
    <mergeCell ref="G2:H2"/>
    <mergeCell ref="AA22:AH22"/>
    <mergeCell ref="AI22:AJ22"/>
    <mergeCell ref="A1:E1"/>
    <mergeCell ref="A4:E4"/>
    <mergeCell ref="A5:E5"/>
    <mergeCell ref="A3:E3"/>
    <mergeCell ref="G7:H7"/>
    <mergeCell ref="G8:H8"/>
    <mergeCell ref="G9:H9"/>
    <mergeCell ref="G10:H10"/>
    <mergeCell ref="A6:E6"/>
    <mergeCell ref="A7:E7"/>
    <mergeCell ref="A8:E8"/>
    <mergeCell ref="A9:E9"/>
    <mergeCell ref="A10:E10"/>
    <mergeCell ref="A11:E11"/>
    <mergeCell ref="I5:O5"/>
    <mergeCell ref="I6:O6"/>
    <mergeCell ref="T1:W1"/>
    <mergeCell ref="AG25:AH25"/>
    <mergeCell ref="AG26:AH26"/>
    <mergeCell ref="AG27:AH27"/>
    <mergeCell ref="AG28:AH28"/>
    <mergeCell ref="AG29:AH29"/>
    <mergeCell ref="AG30:AH30"/>
    <mergeCell ref="AG31:AH31"/>
    <mergeCell ref="AG32:AH32"/>
    <mergeCell ref="AG33:AH33"/>
    <mergeCell ref="AA25:AF25"/>
    <mergeCell ref="AA26:AF26"/>
    <mergeCell ref="AA27:AF27"/>
    <mergeCell ref="AA28:AF28"/>
    <mergeCell ref="AA29:AF29"/>
    <mergeCell ref="AA30:AF30"/>
    <mergeCell ref="AA31:AF31"/>
    <mergeCell ref="AA32:AF32"/>
    <mergeCell ref="AA33:AF33"/>
    <mergeCell ref="AI34:AJ34"/>
    <mergeCell ref="AI25:AJ25"/>
    <mergeCell ref="AI26:AJ26"/>
    <mergeCell ref="AI27:AJ27"/>
    <mergeCell ref="AI28:AJ28"/>
    <mergeCell ref="AI29:AJ29"/>
    <mergeCell ref="AI30:AJ30"/>
    <mergeCell ref="AI31:AJ31"/>
    <mergeCell ref="AI32:AJ32"/>
    <mergeCell ref="AI33:AJ33"/>
  </mergeCells>
  <conditionalFormatting sqref="AH10:AJ10">
    <cfRule type="expression" dxfId="5" priority="6">
      <formula>$AH$10&lt;0</formula>
    </cfRule>
  </conditionalFormatting>
  <conditionalFormatting sqref="AI22:AJ22">
    <cfRule type="expression" dxfId="4" priority="2">
      <formula>$AI$22&lt;0</formula>
    </cfRule>
  </conditionalFormatting>
  <conditionalFormatting sqref="AH24:AJ24">
    <cfRule type="expression" dxfId="3" priority="1">
      <formula>$AH$24&lt;0</formula>
    </cfRule>
  </conditionalFormatting>
  <dataValidations count="3">
    <dataValidation type="list" allowBlank="1" showInputMessage="1" showErrorMessage="1" errorTitle="Hiba" error="Válaszd ki a helyes választ!" sqref="X5:Z5">
      <formula1>eldontendo</formula1>
    </dataValidation>
    <dataValidation type="list" allowBlank="1" showInputMessage="1" showErrorMessage="1" sqref="X6:Z6 S14:T14">
      <formula1>eldontendo</formula1>
    </dataValidation>
    <dataValidation type="whole" allowBlank="1" showInputMessage="1" showErrorMessage="1" error="Érvénytelen szám!" sqref="P6:T6 Y3:Z4">
      <formula1>1</formula1>
      <formula2>99</formula2>
    </dataValidation>
  </dataValidations>
  <pageMargins left="0.25" right="0.25" top="0.75" bottom="0.75" header="0.3" footer="0.3"/>
  <pageSetup orientation="portrait" r:id="rId1"/>
  <headerFooter>
    <oddHeader>&amp;L&amp;"-,Dőlt"Számolós karakterlap @ NYT2015&amp;R&amp;"-,Dőlt"Kalandozok.hu</oddHeader>
    <oddFooter>&amp;L&amp;"-,Dőlt"v 1.25&amp;R&amp;"-,Dőlt"Készítette: Silver Hawk @ 2013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Check Box 41">
              <controlPr defaultSize="0" autoFill="0" autoLine="0" autoPict="0">
                <anchor moveWithCells="1">
                  <from>
                    <xdr:col>9</xdr:col>
                    <xdr:colOff>9525</xdr:colOff>
                    <xdr:row>19</xdr:row>
                    <xdr:rowOff>0</xdr:rowOff>
                  </from>
                  <to>
                    <xdr:col>10</xdr:col>
                    <xdr:colOff>85725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Check Box 42">
              <controlPr defaultSize="0" autoFill="0" autoLine="0" autoPict="0">
                <anchor moveWithCells="1">
                  <from>
                    <xdr:col>9</xdr:col>
                    <xdr:colOff>9525</xdr:colOff>
                    <xdr:row>20</xdr:row>
                    <xdr:rowOff>0</xdr:rowOff>
                  </from>
                  <to>
                    <xdr:col>10</xdr:col>
                    <xdr:colOff>85725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6" name="Check Box 43">
              <controlPr defaultSize="0" autoFill="0" autoLine="0" autoPict="0">
                <anchor moveWithCells="1">
                  <from>
                    <xdr:col>9</xdr:col>
                    <xdr:colOff>9525</xdr:colOff>
                    <xdr:row>20</xdr:row>
                    <xdr:rowOff>190500</xdr:rowOff>
                  </from>
                  <to>
                    <xdr:col>10</xdr:col>
                    <xdr:colOff>85725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7" name="Check Box 44">
              <controlPr defaultSize="0" autoFill="0" autoLine="0" autoPict="0">
                <anchor moveWithCells="1">
                  <from>
                    <xdr:col>9</xdr:col>
                    <xdr:colOff>9525</xdr:colOff>
                    <xdr:row>22</xdr:row>
                    <xdr:rowOff>0</xdr:rowOff>
                  </from>
                  <to>
                    <xdr:col>10</xdr:col>
                    <xdr:colOff>85725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8" name="Check Box 45">
              <controlPr defaultSize="0" autoFill="0" autoLine="0" autoPict="0">
                <anchor moveWithCells="1">
                  <from>
                    <xdr:col>9</xdr:col>
                    <xdr:colOff>9525</xdr:colOff>
                    <xdr:row>23</xdr:row>
                    <xdr:rowOff>0</xdr:rowOff>
                  </from>
                  <to>
                    <xdr:col>10</xdr:col>
                    <xdr:colOff>85725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Check Box 46">
              <controlPr defaultSize="0" autoFill="0" autoLine="0" autoPict="0">
                <anchor moveWithCells="1">
                  <from>
                    <xdr:col>9</xdr:col>
                    <xdr:colOff>9525</xdr:colOff>
                    <xdr:row>24</xdr:row>
                    <xdr:rowOff>0</xdr:rowOff>
                  </from>
                  <to>
                    <xdr:col>10</xdr:col>
                    <xdr:colOff>85725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Check Box 47">
              <controlPr defaultSize="0" autoFill="0" autoLine="0" autoPict="0">
                <anchor moveWithCells="1">
                  <from>
                    <xdr:col>9</xdr:col>
                    <xdr:colOff>9525</xdr:colOff>
                    <xdr:row>25</xdr:row>
                    <xdr:rowOff>0</xdr:rowOff>
                  </from>
                  <to>
                    <xdr:col>10</xdr:col>
                    <xdr:colOff>85725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1" name="Check Box 48">
              <controlPr defaultSize="0" autoFill="0" autoLine="0" autoPict="0">
                <anchor moveWithCells="1">
                  <from>
                    <xdr:col>9</xdr:col>
                    <xdr:colOff>9525</xdr:colOff>
                    <xdr:row>26</xdr:row>
                    <xdr:rowOff>0</xdr:rowOff>
                  </from>
                  <to>
                    <xdr:col>10</xdr:col>
                    <xdr:colOff>85725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2" name="Check Box 49">
              <controlPr defaultSize="0" autoFill="0" autoLine="0" autoPict="0">
                <anchor moveWithCells="1">
                  <from>
                    <xdr:col>9</xdr:col>
                    <xdr:colOff>9525</xdr:colOff>
                    <xdr:row>27</xdr:row>
                    <xdr:rowOff>0</xdr:rowOff>
                  </from>
                  <to>
                    <xdr:col>10</xdr:col>
                    <xdr:colOff>85725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3" name="Check Box 50">
              <controlPr defaultSize="0" autoFill="0" autoLine="0" autoPict="0">
                <anchor moveWithCells="1">
                  <from>
                    <xdr:col>9</xdr:col>
                    <xdr:colOff>9525</xdr:colOff>
                    <xdr:row>28</xdr:row>
                    <xdr:rowOff>0</xdr:rowOff>
                  </from>
                  <to>
                    <xdr:col>10</xdr:col>
                    <xdr:colOff>85725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9F3FD96C-5E26-4D41-87E3-B498E8E19149}">
            <xm:f>(VLOOKUP(A15,Adattábla!L:AD,19,FALSE)-SUM(L18:W18))&lt;0</xm:f>
            <x14:dxf>
              <fill>
                <patternFill>
                  <bgColor rgb="FFFF3B3B"/>
                </patternFill>
              </fill>
            </x14:dxf>
          </x14:cfRule>
          <xm:sqref>E16:H16</xm:sqref>
        </x14:conditionalFormatting>
        <x14:conditionalFormatting xmlns:xm="http://schemas.microsoft.com/office/excel/2006/main">
          <x14:cfRule type="expression" priority="3" id="{943CA76D-350A-415A-BEE3-F9A4874502E6}">
            <xm:f>$O$18&lt;IF(P5="Váltott kaszt",VLOOKUP(P3,Adattábla!L:AE,20,FALSE)+VLOOKUP(P4,Adattábla!L:AE,20,FALSE),VLOOKUP(A15,Adattábla!L:AE,20,FALSE))</xm:f>
            <x14:dxf>
              <fill>
                <patternFill>
                  <bgColor rgb="FFFF3B3B"/>
                </patternFill>
              </fill>
            </x14:dxf>
          </x14:cfRule>
          <xm:sqref>O18:Q18</xm:sqref>
        </x14:conditionalFormatting>
        <x14:conditionalFormatting xmlns:xm="http://schemas.microsoft.com/office/excel/2006/main">
          <x14:cfRule type="expression" priority="10" id="{1D17C7BF-3222-4CE3-BE7F-C591B97BC12F}">
            <xm:f>$R$18&lt;IF(P5="Váltott kaszt",VLOOKUP(P3,Adattábla!L:AG,21,FALSE)+VLOOKUP(P4,Adattábla!L:AG,21,FALSE),VLOOKUP(A15,Adattábla!L:AG,21,FALSE))</xm:f>
            <x14:dxf>
              <fill>
                <patternFill>
                  <bgColor rgb="FFFF3B3B"/>
                </patternFill>
              </fill>
            </x14:dxf>
          </x14:cfRule>
          <xm:sqref>R18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Adattábla!$E$6:$E$7</xm:f>
          </x14:formula1>
          <xm:sqref>P5:T5</xm:sqref>
        </x14:dataValidation>
        <x14:dataValidation type="list" allowBlank="1" showInputMessage="1" showErrorMessage="1">
          <x14:formula1>
            <xm:f>Adattábla!$A$24:$A$30</xm:f>
          </x14:formula1>
          <xm:sqref>V7:Z7</xm:sqref>
        </x14:dataValidation>
        <x14:dataValidation type="list" allowBlank="1" showInputMessage="1" showErrorMessage="1">
          <x14:formula1>
            <xm:f>Adattábla!$L$2:$L$103</xm:f>
          </x14:formula1>
          <xm:sqref>P4:U4</xm:sqref>
        </x14:dataValidation>
        <x14:dataValidation type="list" allowBlank="1" showInputMessage="1" showErrorMessage="1">
          <x14:formula1>
            <xm:f>Adattábla!$L$2:$L$103</xm:f>
          </x14:formula1>
          <xm:sqref>P3:U3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1"/>
  <sheetViews>
    <sheetView topLeftCell="H1" workbookViewId="0">
      <pane ySplit="1" topLeftCell="A2" activePane="bottomLeft" state="frozen"/>
      <selection activeCell="J1" sqref="J1"/>
      <selection pane="bottomLeft" activeCell="BE52" sqref="BE52"/>
    </sheetView>
  </sheetViews>
  <sheetFormatPr defaultRowHeight="15" x14ac:dyDescent="0.25"/>
  <cols>
    <col min="2" max="2" width="10.28515625" bestFit="1" customWidth="1"/>
    <col min="4" max="4" width="12.140625" bestFit="1" customWidth="1"/>
    <col min="5" max="5" width="12" bestFit="1" customWidth="1"/>
    <col min="9" max="9" width="12.28515625" customWidth="1"/>
    <col min="10" max="10" width="6.7109375" bestFit="1" customWidth="1"/>
    <col min="12" max="12" width="21" bestFit="1" customWidth="1"/>
    <col min="13" max="33" width="9.140625" customWidth="1"/>
    <col min="34" max="35" width="10.28515625" customWidth="1"/>
    <col min="36" max="39" width="9.140625" customWidth="1"/>
    <col min="40" max="40" width="12.140625" customWidth="1"/>
    <col min="41" max="41" width="14.140625" customWidth="1"/>
    <col min="42" max="42" width="9.140625" customWidth="1"/>
    <col min="43" max="52" width="9.140625" style="17" customWidth="1"/>
    <col min="53" max="53" width="9.140625" customWidth="1"/>
    <col min="54" max="54" width="10.28515625" style="40" bestFit="1" customWidth="1"/>
    <col min="55" max="55" width="12.5703125" style="40" bestFit="1" customWidth="1"/>
    <col min="56" max="56" width="9.5703125" style="40" bestFit="1" customWidth="1"/>
    <col min="57" max="57" width="9.140625" style="40" bestFit="1" customWidth="1"/>
    <col min="58" max="58" width="9" style="40" bestFit="1" customWidth="1"/>
    <col min="59" max="59" width="8" style="40" bestFit="1" customWidth="1"/>
    <col min="60" max="60" width="12" style="40" bestFit="1" customWidth="1"/>
    <col min="61" max="61" width="9.42578125" style="40" bestFit="1" customWidth="1"/>
    <col min="62" max="62" width="6.7109375" style="40" bestFit="1" customWidth="1"/>
    <col min="63" max="63" width="9.5703125" style="40" bestFit="1" customWidth="1"/>
    <col min="64" max="64" width="13.85546875" style="40" bestFit="1" customWidth="1"/>
    <col min="65" max="65" width="10.140625" bestFit="1" customWidth="1"/>
  </cols>
  <sheetData>
    <row r="1" spans="1:65" x14ac:dyDescent="0.25">
      <c r="A1" s="263" t="s">
        <v>27</v>
      </c>
      <c r="B1" s="264"/>
      <c r="D1" s="263" t="s">
        <v>29</v>
      </c>
      <c r="E1" s="264"/>
      <c r="G1" s="3"/>
      <c r="H1" s="4"/>
      <c r="I1" s="263" t="s">
        <v>272</v>
      </c>
      <c r="J1" s="264"/>
      <c r="L1" s="260" t="s">
        <v>44</v>
      </c>
      <c r="M1" s="260"/>
      <c r="N1" s="260"/>
      <c r="O1" s="260"/>
      <c r="P1" t="s">
        <v>48</v>
      </c>
      <c r="Q1" t="s">
        <v>49</v>
      </c>
      <c r="R1" t="s">
        <v>50</v>
      </c>
      <c r="S1" t="s">
        <v>51</v>
      </c>
      <c r="T1" t="s">
        <v>52</v>
      </c>
      <c r="U1" t="s">
        <v>53</v>
      </c>
      <c r="V1" t="s">
        <v>54</v>
      </c>
      <c r="W1" t="s">
        <v>55</v>
      </c>
      <c r="X1" t="s">
        <v>56</v>
      </c>
      <c r="Y1" t="s">
        <v>161</v>
      </c>
      <c r="Z1" t="s">
        <v>72</v>
      </c>
      <c r="AA1" t="s">
        <v>73</v>
      </c>
      <c r="AB1" t="s">
        <v>74</v>
      </c>
      <c r="AC1" t="s">
        <v>75</v>
      </c>
      <c r="AD1" t="s">
        <v>76</v>
      </c>
      <c r="AE1" t="s">
        <v>84</v>
      </c>
      <c r="AF1" t="s">
        <v>85</v>
      </c>
      <c r="AG1" t="s">
        <v>77</v>
      </c>
      <c r="AH1" t="s">
        <v>78</v>
      </c>
      <c r="AI1" s="17" t="s">
        <v>142</v>
      </c>
      <c r="AJ1" t="s">
        <v>79</v>
      </c>
      <c r="AK1" t="s">
        <v>80</v>
      </c>
      <c r="AL1" t="s">
        <v>81</v>
      </c>
      <c r="AM1" t="s">
        <v>86</v>
      </c>
      <c r="AN1" t="s">
        <v>111</v>
      </c>
      <c r="AO1" t="s">
        <v>113</v>
      </c>
      <c r="AQ1" s="17" t="s">
        <v>143</v>
      </c>
      <c r="AR1" s="17" t="s">
        <v>144</v>
      </c>
      <c r="AS1" s="17" t="s">
        <v>145</v>
      </c>
      <c r="AT1" s="17" t="s">
        <v>146</v>
      </c>
      <c r="AU1" s="18" t="s">
        <v>147</v>
      </c>
      <c r="AV1" s="18" t="s">
        <v>148</v>
      </c>
      <c r="AW1" s="18" t="s">
        <v>149</v>
      </c>
      <c r="AX1" s="18" t="s">
        <v>150</v>
      </c>
      <c r="AY1" s="18" t="s">
        <v>151</v>
      </c>
      <c r="AZ1" s="18" t="s">
        <v>152</v>
      </c>
      <c r="BA1" s="18" t="s">
        <v>162</v>
      </c>
      <c r="BB1" s="39" t="s">
        <v>240</v>
      </c>
      <c r="BC1" s="39" t="s">
        <v>243</v>
      </c>
      <c r="BD1" s="39" t="s">
        <v>241</v>
      </c>
      <c r="BE1" s="39" t="s">
        <v>242</v>
      </c>
      <c r="BF1" s="39" t="s">
        <v>244</v>
      </c>
      <c r="BG1" s="39" t="s">
        <v>245</v>
      </c>
      <c r="BH1" s="39" t="s">
        <v>246</v>
      </c>
      <c r="BI1" s="39" t="s">
        <v>247</v>
      </c>
      <c r="BJ1" s="39" t="s">
        <v>248</v>
      </c>
      <c r="BK1" s="39" t="s">
        <v>249</v>
      </c>
      <c r="BL1" s="39" t="s">
        <v>251</v>
      </c>
      <c r="BM1" s="39" t="s">
        <v>258</v>
      </c>
    </row>
    <row r="2" spans="1:65" x14ac:dyDescent="0.25">
      <c r="A2" s="5">
        <v>12</v>
      </c>
      <c r="B2" s="6">
        <v>0</v>
      </c>
      <c r="D2" s="5"/>
      <c r="E2" s="6" t="s">
        <v>30</v>
      </c>
      <c r="G2" s="5"/>
      <c r="H2" s="6"/>
      <c r="I2" s="5" t="s">
        <v>262</v>
      </c>
      <c r="J2" s="6">
        <v>9</v>
      </c>
      <c r="L2" t="s">
        <v>43</v>
      </c>
      <c r="M2">
        <v>0</v>
      </c>
      <c r="N2">
        <v>161</v>
      </c>
      <c r="O2">
        <v>321</v>
      </c>
      <c r="P2">
        <v>641</v>
      </c>
      <c r="Q2">
        <v>1441</v>
      </c>
      <c r="R2">
        <v>2801</v>
      </c>
      <c r="S2">
        <v>5601</v>
      </c>
      <c r="T2">
        <v>10001</v>
      </c>
      <c r="U2">
        <v>20001</v>
      </c>
      <c r="V2">
        <v>40001</v>
      </c>
      <c r="W2">
        <v>60001</v>
      </c>
      <c r="X2">
        <v>80001</v>
      </c>
      <c r="Y2">
        <f>IFERROR(IF(VLOOKUP(L2,Karakterlap!$P$3:$Z$4,10,FALSE)&gt;13,112001+((VLOOKUP(L2,Karakterlap!$P$3:$Z$4,10,FALSE)-13)*31200),112001),112001)</f>
        <v>112001</v>
      </c>
      <c r="Z2">
        <v>9</v>
      </c>
      <c r="AA2">
        <v>20</v>
      </c>
      <c r="AB2">
        <v>75</v>
      </c>
      <c r="AC2">
        <v>0</v>
      </c>
      <c r="AD2">
        <f>IFERROR(VLOOKUP(L2,Karakterlap!$P$3:$Z$4,10,FALSE)*11,11)</f>
        <v>11</v>
      </c>
      <c r="AE2">
        <f>IFERROR(IF(Karakterlap!$P$5="Váltott kaszt",IF(Karakterlap!$P$3=Adattábla!$L2,Karakterlap!$Y$3*3,IF(Karakterlap!$P$4=Adattábla!$L2,(Karakterlap!$Y$4-Adattábla!$I$20)*3,3)),VLOOKUP(Adattábla!$L2,Karakterlap!$P$3:$Z$4,10,FALSE)*3),3)</f>
        <v>3</v>
      </c>
      <c r="AF2">
        <f>IFERROR(IF(Karakterlap!$P$5="Váltott kaszt",IF(Karakterlap!$P$3=Adattábla!$L2,Karakterlap!$Y$3*3,IF(Karakterlap!$P$4=Adattábla!$L2,(Karakterlap!$Y$4-Adattábla!$I$20)*3,3)),VLOOKUP(Adattábla!$L2,Karakterlap!$P$3:$Z$4,10,FALSE)*3),3)</f>
        <v>3</v>
      </c>
      <c r="AG2">
        <v>10</v>
      </c>
      <c r="AH2">
        <f>IF(Karakterlap!$P$5="Iker kaszt",IF(Karakterlap!$P$3=L2,IFERROR((Karakterlap!$P$6*14)+(VLOOKUP(L2,Karakterlap!$P$3:$Z$4,10,FALSE)-Karakterlap!$P$6),14),IF(Karakterlap!$P$4=L2,VLOOKUP(L2,Karakterlap!$P$3:$Z$4,10,FALSE),14)),IF(Karakterlap!$P$5="Váltott kaszt",IF(L2=Karakterlap!$P$3,(Karakterlap!$Y$3+3)*14,VLOOKUP(L2,Karakterlap!$P$3:$Z$4,10,FALSE)*14),IFERROR(VLOOKUP(L2,Karakterlap!$P$3:$Z$4,10,FALSE)*14,14)))</f>
        <v>14</v>
      </c>
      <c r="AI2">
        <v>0</v>
      </c>
      <c r="AJ2">
        <v>7</v>
      </c>
      <c r="AK2">
        <v>6</v>
      </c>
      <c r="AL2">
        <f>IFERROR(VLOOKUP(L2,Karakterlap!$P$3:$Z$4,10,FALSE)*($E$18+4),$E$18+4)</f>
        <v>10</v>
      </c>
      <c r="AN2" t="s">
        <v>115</v>
      </c>
      <c r="AQ2" s="17">
        <v>15</v>
      </c>
      <c r="AR2" s="17">
        <v>20</v>
      </c>
      <c r="AS2" s="17">
        <v>10</v>
      </c>
      <c r="BA2">
        <f>IFERROR(IF(Karakterlap!$P$6&gt;13,112001+((Karakterlap!$P$6-13)*31200),112001),112001)</f>
        <v>112001</v>
      </c>
      <c r="BB2" s="40">
        <f>VLOOKUP("k6+12",$I$2:$J$11,2,FALSE)+IFERROR(VLOOKUP(Karakterlap!$V$7,$A$24:$C$33,3,FALSE),0)</f>
        <v>16</v>
      </c>
      <c r="BC2" s="40">
        <f>VLOOKUP("k10+8",$I$2:$J$11,2,FALSE)+IFERROR(VLOOKUP(Karakterlap!$V$7,$A$24:$D$33,4,FALSE),0)</f>
        <v>14</v>
      </c>
      <c r="BD2" s="40">
        <f>VLOOKUP("2k6+6",$I$2:$J$11,2,FALSE)+IFERROR(VLOOKUP(Karakterlap!$V$7,$A$24:$E$33,5,FALSE),0)</f>
        <v>13</v>
      </c>
      <c r="BE2" s="40">
        <f>VLOOKUP("2k6+6",$I$2:$J$11,2,FALSE)+IFERROR(VLOOKUP(Karakterlap!$V$7,$A$24:$F$33,6,FALSE),0)</f>
        <v>13</v>
      </c>
      <c r="BF2" s="40">
        <f>VLOOKUP("k10+10",$I$2:$J$11,2,FALSE)+IFERROR(VLOOKUP(Karakterlap!$V$7,$A$24:$G$33,7,FALSE),0)</f>
        <v>16</v>
      </c>
      <c r="BG2" s="40">
        <f>VLOOKUP("3k6(2x)",$I$2:$J$11,2,FALSE)+IFERROR(VLOOKUP(Karakterlap!$V$7,$A$24:$H$33,8,FALSE),0)</f>
        <v>11</v>
      </c>
      <c r="BH2" s="40">
        <f>VLOOKUP("3k6(2x)",$I$2:$J$11,2,FALSE)+IFERROR(VLOOKUP(Karakterlap!$V$7,$A$24:$I$33,9,FALSE),0)</f>
        <v>11</v>
      </c>
      <c r="BI2" s="40">
        <f>VLOOKUP("2k6+6",$I$2:$J$11,2,FALSE)</f>
        <v>13</v>
      </c>
      <c r="BJ2" s="40">
        <f>VLOOKUP("3k6(2x)",$I$2:$J$11,2,FALSE)+IFERROR(VLOOKUP(Karakterlap!$V$7,$A$24:$J$33,10,FALSE),0)</f>
        <v>11</v>
      </c>
      <c r="BK2" s="40">
        <f>VLOOKUP("2k6+6",$I$2:$J$11,2,FALSE)</f>
        <v>13</v>
      </c>
      <c r="BL2" s="40">
        <f>IF((SUM(Karakterlap!$F$3:$F$12)-SUM(BB2:BK2))&lt;0,0,SUM(Karakterlap!$F$3:$F$12)-SUM(BB2:BK2))</f>
        <v>0</v>
      </c>
      <c r="BM2" t="e">
        <f>IF(Karakterlap!$F$3&gt;18,IF((Karakterlap!$F$3-IF(BB2&gt;18,BB2,18))&gt;0,Karakterlap!$F$3-IF(BB2&gt;18,BB2,18),0),0)+IF(Karakterlap!$F$4&gt;18,IF((Karakterlap!$F$4-IF(BC2&gt;18,BC2,18))&gt;0,Karakterlap!$F$4-IF(BC2&gt;18,BC2,18),0),0)+IF(Karakterlap!$F$5&gt;18,IF((Karakterlap!$F$5-IF(BD2&gt;18,BD2,18))&gt;0,Karakterlap!$F$5-IF(BD2&gt;18,BD2,18),0),0)+IF(Karakterlap!$F$6&gt;18,IF((Karakterlap!$F$6-IF(BE2&gt;18,BE2,18))&gt;0,Karakterlap!$F$6-IF(BE2&gt;18,BE2,18),0),0)+IF(Karakterlap!$F$7&gt;18,IF((Karakterlap!$F$7-IF(BF2&gt;18,BF2,18))&gt;0,Karakterlap!$F$7-IF(BF2&gt;18,BF2,18),0),0)+IF(Karakterlap!$F$8&gt;18,IF((Karakterlap!$F$8-IF(BG2&gt;18,BG2,18))&gt;0,Karakterlap!$F$8-IF(BG2&gt;18,BG2,18),0),0)+IF(Karakterlap!$F$9&gt;18,IF((Karakterlap!$F$9-IF(BH2&gt;18,BH2,18))&gt;0,Karakterlap!$F$9-IF(BH2&gt;18,BH2,18),0),0)+IF(Karakterlap!$F$10&gt;18,IF((Karakterlap!$F$10-IF(BI2&gt;18,BI2,18))&gt;0,Karakterlap!$F$10-IF(BI2&gt;18,BI2,18),0),0)+IF(Karakterlap!$F$11&gt;18,IF((Karakterlap!$F$11-IF(BJ2&gt;18,BJ2,18))&gt;0,Karakterlap!$F$11-IF(BJ2&gt;18,BJ2,18),0),0)+IF(Karakterlap!$F$12&gt;18,IF((Karakterlap!$F$12-IF(BK2&gt;18,BK2,18))&gt;0,Karakterlap!$F$12-IF(BK2&gt;18,BK2,18),0),0)</f>
        <v>#VALUE!</v>
      </c>
    </row>
    <row r="3" spans="1:65" x14ac:dyDescent="0.25">
      <c r="A3" s="5">
        <v>12.5</v>
      </c>
      <c r="B3" s="6">
        <v>0</v>
      </c>
      <c r="D3" s="7"/>
      <c r="E3" s="2" t="s">
        <v>31</v>
      </c>
      <c r="G3" s="5"/>
      <c r="H3" s="6"/>
      <c r="I3" s="5" t="s">
        <v>263</v>
      </c>
      <c r="J3" s="6">
        <v>10</v>
      </c>
      <c r="L3" t="s">
        <v>193</v>
      </c>
      <c r="M3">
        <v>0</v>
      </c>
      <c r="N3">
        <v>186</v>
      </c>
      <c r="O3">
        <v>373</v>
      </c>
      <c r="P3">
        <v>745</v>
      </c>
      <c r="Q3">
        <v>1489</v>
      </c>
      <c r="R3">
        <v>2977</v>
      </c>
      <c r="S3">
        <v>5953</v>
      </c>
      <c r="T3">
        <v>11901</v>
      </c>
      <c r="U3">
        <v>23801</v>
      </c>
      <c r="V3">
        <v>47601</v>
      </c>
      <c r="W3">
        <v>71401</v>
      </c>
      <c r="X3">
        <v>101001</v>
      </c>
      <c r="Y3">
        <f>IFERROR(IF(VLOOKUP(L3,Karakterlap!$P$3:$Z$4,10,FALSE)&gt;13,151001+((VLOOKUP(L3,Karakterlap!$P$3:$Z$4,10,FALSE)-13)*40500),151001),151001)</f>
        <v>151001</v>
      </c>
      <c r="Z3">
        <v>8</v>
      </c>
      <c r="AA3">
        <v>22</v>
      </c>
      <c r="AB3">
        <v>73</v>
      </c>
      <c r="AC3">
        <v>10</v>
      </c>
      <c r="AD3">
        <f>IFERROR(VLOOKUP(L3,Karakterlap!$P$3:$Z$4,10,FALSE)*10,10)</f>
        <v>10</v>
      </c>
      <c r="AE3">
        <v>0</v>
      </c>
      <c r="AF3">
        <v>0</v>
      </c>
      <c r="AG3">
        <v>8</v>
      </c>
      <c r="AH3">
        <f>IF(Karakterlap!$P$5="Iker kaszt",IF(Karakterlap!$P$3=L3,IFERROR((Karakterlap!$P$6*8)+(VLOOKUP(L3,Karakterlap!$P$3:$Z$4,10,FALSE)-Karakterlap!$P$6),8),IF(Karakterlap!$P$4=L3,VLOOKUP(L3,Karakterlap!$P$3:$Z$4,10,FALSE),8)),IF(Karakterlap!$P$5="Váltott kaszt",IF(L3=Karakterlap!$P$3,(Karakterlap!$Y$3+3)*8,VLOOKUP(L3,Karakterlap!$P$3:$Z$4,10,FALSE)*8),IFERROR(VLOOKUP(L3,Karakterlap!$P$3:$Z$4,10,FALSE)*8,8)))</f>
        <v>8</v>
      </c>
      <c r="AI3">
        <v>0</v>
      </c>
      <c r="AJ3">
        <v>7</v>
      </c>
      <c r="AK3">
        <v>7</v>
      </c>
      <c r="AL3">
        <f>IFERROR(VLOOKUP(L3,Karakterlap!$P$3:$Z$4,10,FALSE)*($E$18+4),$E$18+4)</f>
        <v>10</v>
      </c>
      <c r="AN3" t="s">
        <v>115</v>
      </c>
      <c r="BA3">
        <f>IFERROR(IF(Karakterlap!$P$6&gt;13,151001+((Karakterlap!$P$6-13)*40500),151001),151001)</f>
        <v>151001</v>
      </c>
      <c r="BB3" s="40">
        <f>VLOOKUP("2k6+6",$I$2:$J$11,2,FALSE)+IFERROR(VLOOKUP(Karakterlap!$V$7,$A$24:$C$33,3,FALSE),0)</f>
        <v>13</v>
      </c>
      <c r="BC3" s="40">
        <f>VLOOKUP("2k6+6",$I$2:$J$11,2,FALSE)+IFERROR(VLOOKUP(Karakterlap!$V$7,$A$24:$D$33,4,FALSE),0)</f>
        <v>13</v>
      </c>
      <c r="BD3" s="40">
        <f>VLOOKUP("k10+8",$I$2:$J$11,2,FALSE)+IFERROR(VLOOKUP(Karakterlap!$V$7,$A$24:$E$33,5,FALSE),0)</f>
        <v>14</v>
      </c>
      <c r="BE3" s="40">
        <f>VLOOKUP("k10+8",$I$2:$J$11,2,FALSE)+IFERROR(VLOOKUP(Karakterlap!$V$7,$A$24:$F$33,6,FALSE),0)</f>
        <v>14</v>
      </c>
      <c r="BF3" s="40">
        <f>VLOOKUP("2k6+6",$I$2:$J$11,2,FALSE)+IFERROR(VLOOKUP(Karakterlap!$V$7,$A$24:$G$33,7,FALSE),0)</f>
        <v>13</v>
      </c>
      <c r="BG3" s="40">
        <f>VLOOKUP("k10+8",$I$2:$J$11,2,FALSE)+IFERROR(VLOOKUP(Karakterlap!$V$7,$A$24:$H$33,8,FALSE),0)</f>
        <v>14</v>
      </c>
      <c r="BH3" s="40">
        <f>VLOOKUP("3k6(2x)",$I$2:$J$11,2,FALSE)+IFERROR(VLOOKUP(Karakterlap!$V$7,$A$24:$I$33,9,FALSE),0)</f>
        <v>11</v>
      </c>
      <c r="BI3" s="40">
        <f>VLOOKUP("2k6+6",$I$2:$J$11,2,FALSE)</f>
        <v>13</v>
      </c>
      <c r="BJ3" s="40">
        <f>VLOOKUP("3k6(2x)",$I$2:$J$11,2,FALSE)+IFERROR(VLOOKUP(Karakterlap!$V$7,$A$24:$J$33,10,FALSE),0)</f>
        <v>11</v>
      </c>
      <c r="BK3" s="40">
        <f>VLOOKUP("k10+8",$I$2:$J$11,2,FALSE)</f>
        <v>14</v>
      </c>
      <c r="BL3" s="40">
        <f>IF((SUM(Karakterlap!$F$3:$F$12)-SUM(BB3:BK3))&lt;0,0,SUM(Karakterlap!$F$3:$F$12)-SUM(BB3:BK3))</f>
        <v>0</v>
      </c>
      <c r="BM3" t="e">
        <f>IF(Karakterlap!$F$3&gt;18,IF((Karakterlap!$F$3-IF(BB3&gt;18,BB3,18))&gt;0,Karakterlap!$F$3-IF(BB3&gt;18,BB3,18),0),0)+IF(Karakterlap!$F$4&gt;18,IF((Karakterlap!$F$4-IF(BC3&gt;18,BC3,18))&gt;0,Karakterlap!$F$4-IF(BC3&gt;18,BC3,18),0),0)+IF(Karakterlap!$F$5&gt;18,IF((Karakterlap!$F$5-IF(BD3&gt;18,BD3,18))&gt;0,Karakterlap!$F$5-IF(BD3&gt;18,BD3,18),0),0)+IF(Karakterlap!$F$6&gt;18,IF((Karakterlap!$F$6-IF(BE3&gt;18,BE3,18))&gt;0,Karakterlap!$F$6-IF(BE3&gt;18,BE3,18),0),0)+IF(Karakterlap!$F$7&gt;18,IF((Karakterlap!$F$7-IF(BF3&gt;18,BF3,18))&gt;0,Karakterlap!$F$7-IF(BF3&gt;18,BF3,18),0),0)+IF(Karakterlap!$F$8&gt;18,IF((Karakterlap!$F$8-IF(BG3&gt;18,BG3,18))&gt;0,Karakterlap!$F$8-IF(BG3&gt;18,BG3,18),0),0)+IF(Karakterlap!$F$9&gt;18,IF((Karakterlap!$F$9-IF(BH3&gt;18,BH3,18))&gt;0,Karakterlap!$F$9-IF(BH3&gt;18,BH3,18),0),0)+IF(Karakterlap!$F$10&gt;18,IF((Karakterlap!$F$10-IF(BI3&gt;18,BI3,18))&gt;0,Karakterlap!$F$10-IF(BI3&gt;18,BI3,18),0),0)+IF(Karakterlap!$F$11&gt;18,IF((Karakterlap!$F$11-IF(BJ3&gt;18,BJ3,18))&gt;0,Karakterlap!$F$11-IF(BJ3&gt;18,BJ3,18),0),0)+IF(Karakterlap!$F$12&gt;18,IF((Karakterlap!$F$12-IF(BK3&gt;18,BK3,18))&gt;0,Karakterlap!$F$12-IF(BK3&gt;18,BK3,18),0),0)</f>
        <v>#VALUE!</v>
      </c>
    </row>
    <row r="4" spans="1:65" x14ac:dyDescent="0.25">
      <c r="A4" s="5">
        <v>13</v>
      </c>
      <c r="B4" s="6">
        <v>0</v>
      </c>
      <c r="G4" s="5"/>
      <c r="H4" s="6"/>
      <c r="I4" s="5" t="s">
        <v>264</v>
      </c>
      <c r="J4" s="6">
        <v>11</v>
      </c>
      <c r="L4" t="s">
        <v>194</v>
      </c>
      <c r="M4">
        <v>0</v>
      </c>
      <c r="N4">
        <v>166</v>
      </c>
      <c r="O4">
        <v>331</v>
      </c>
      <c r="P4">
        <v>661</v>
      </c>
      <c r="Q4">
        <v>1486</v>
      </c>
      <c r="R4">
        <v>2901</v>
      </c>
      <c r="S4">
        <v>5801</v>
      </c>
      <c r="T4">
        <v>11001</v>
      </c>
      <c r="U4">
        <v>22001</v>
      </c>
      <c r="V4">
        <v>45001</v>
      </c>
      <c r="W4">
        <v>67001</v>
      </c>
      <c r="X4">
        <v>90001</v>
      </c>
      <c r="Y4">
        <f>IFERROR(IF(VLOOKUP(L4,Karakterlap!$P$3:$Z$4,10,FALSE)&gt;13,136001+((VLOOKUP(L4,Karakterlap!$P$3:$Z$4,10,FALSE)-13)*40000),136001),136001)</f>
        <v>136001</v>
      </c>
      <c r="Z4">
        <v>9</v>
      </c>
      <c r="AA4">
        <v>20</v>
      </c>
      <c r="AB4">
        <v>75</v>
      </c>
      <c r="AC4">
        <v>0</v>
      </c>
      <c r="AD4">
        <f>IFERROR(VLOOKUP(L4,Karakterlap!$P$3:$Z$4,10,FALSE)*12,12)</f>
        <v>12</v>
      </c>
      <c r="AE4">
        <f>IFERROR(IF(Karakterlap!$P$5="Váltott kaszt",IF(Karakterlap!$P$3=Adattábla!$L4,Karakterlap!$Y$3*3,IF(Karakterlap!$P$4=Adattábla!$L4,(Karakterlap!$Y$4-Adattábla!$I$20)*3,3)),VLOOKUP(Adattábla!$L4,Karakterlap!$P$3:$Z$4,10,FALSE)*3),3)</f>
        <v>3</v>
      </c>
      <c r="AF4">
        <f>IFERROR(IF(Karakterlap!$P$5="Váltott kaszt",IF(Karakterlap!$P$3=Adattábla!$L4,Karakterlap!$Y$3*3,IF(Karakterlap!$P$4=Adattábla!$L4,(Karakterlap!$Y$4-Adattábla!$I$20)*3,3)),VLOOKUP(Adattábla!$L4,Karakterlap!$P$3:$Z$4,10,FALSE)*3),3)</f>
        <v>3</v>
      </c>
      <c r="AG4">
        <v>4</v>
      </c>
      <c r="AH4">
        <f>IF(Karakterlap!$P$5="Iker kaszt",IF(Karakterlap!$P$3=L4,IFERROR((Karakterlap!$P$6*6)+(VLOOKUP(L4,Karakterlap!$P$3:$Z$4,10,FALSE)-Karakterlap!$P$6),6),IF(Karakterlap!$P$4=L4,VLOOKUP(L4,Karakterlap!$P$3:$Z$4,10,FALSE),6)),IF(Karakterlap!$P$5="Váltott kaszt",IF(L4=Karakterlap!$P$3,(Karakterlap!$Y$3+3)*6,VLOOKUP(L4,Karakterlap!$P$3:$Z$4,10,FALSE)*6),IFERROR(VLOOKUP(L4,Karakterlap!$P$3:$Z$4,10,FALSE)*6,6)))</f>
        <v>6</v>
      </c>
      <c r="AI4">
        <v>0</v>
      </c>
      <c r="AJ4">
        <v>5</v>
      </c>
      <c r="AK4">
        <v>5</v>
      </c>
      <c r="AL4">
        <f>IFERROR(VLOOKUP(L4,Karakterlap!$P$3:$Z$4,10,FALSE)*($E$18+3),$E$18+3)</f>
        <v>9</v>
      </c>
      <c r="AN4" t="s">
        <v>108</v>
      </c>
      <c r="AO4" t="str">
        <f>IFERROR((IF(Karakterlap!$F$9&gt;10,Karakterlap!$F$9-10,0))+4+((VLOOKUP(L4,Karakterlap!$P$3:$Z$4,10,FALSE)-1)*3),"más kaszt")</f>
        <v>más kaszt</v>
      </c>
      <c r="BA4">
        <f>IFERROR(IF(Karakterlap!$P$6&gt;13,136001+((Karakterlap!$P$6-13)*40000),136001),136001)</f>
        <v>136001</v>
      </c>
      <c r="BB4" s="40">
        <f>VLOOKUP("2k6+6",$I$2:$J$11,2,FALSE)+IFERROR(VLOOKUP(Karakterlap!$V$7,$A$24:$C$33,3,FALSE),0)</f>
        <v>13</v>
      </c>
      <c r="BC4" s="40">
        <f>VLOOKUP("3k6(2x)",$I$2:$J$11,2,FALSE)+IFERROR(VLOOKUP(Karakterlap!$V$7,$A$24:$D$33,4,FALSE),0)</f>
        <v>11</v>
      </c>
      <c r="BD4" s="40">
        <f>VLOOKUP("k10+8",$I$2:$J$11,2,FALSE)+IFERROR(VLOOKUP(Karakterlap!$V$7,$A$24:$E$33,5,FALSE),0)</f>
        <v>14</v>
      </c>
      <c r="BE4" s="40">
        <f>VLOOKUP("k10+8",$I$2:$J$11,2,FALSE)+IFERROR(VLOOKUP(Karakterlap!$V$7,$A$24:$F$33,6,FALSE),0)</f>
        <v>14</v>
      </c>
      <c r="BF4" s="40">
        <f>VLOOKUP("3k6",$I$2:$J$11,2,FALSE)+IFERROR(VLOOKUP(Karakterlap!$V$7,$A$24:$G$33,7,FALSE),0)</f>
        <v>10</v>
      </c>
      <c r="BG4" s="40">
        <f>VLOOKUP("3k6(2x)",$I$2:$J$11,2,FALSE)+IFERROR(VLOOKUP(Karakterlap!$V$7,$A$24:$H$33,8,FALSE),0)</f>
        <v>11</v>
      </c>
      <c r="BH4" s="40">
        <f>VLOOKUP("3k6(2x)",$I$2:$J$11,2,FALSE)+IFERROR(VLOOKUP(Karakterlap!$V$7,$A$24:$I$33,9,FALSE),0)</f>
        <v>11</v>
      </c>
      <c r="BI4" s="40">
        <f>VLOOKUP("3k6",$I$2:$J$11,2,FALSE)</f>
        <v>10</v>
      </c>
      <c r="BJ4" s="40">
        <f>VLOOKUP("k6+12",$I$2:$J$11,2,FALSE)+IFERROR(VLOOKUP(Karakterlap!$V$7,$A$24:$J$33,10,FALSE),0)</f>
        <v>16</v>
      </c>
      <c r="BK4" s="40">
        <f>VLOOKUP("k10+8",$I$2:$J$11,2,FALSE)</f>
        <v>14</v>
      </c>
      <c r="BL4" s="40">
        <f>IF((SUM(Karakterlap!$F$3:$F$12)-SUM(BB4:BK4))&lt;0,0,SUM(Karakterlap!$F$3:$F$12)-SUM(BB4:BK4))</f>
        <v>0</v>
      </c>
      <c r="BM4" t="e">
        <f>IF(Karakterlap!$F$3&gt;18,IF((Karakterlap!$F$3-IF(BB4&gt;18,BB4,18))&gt;0,Karakterlap!$F$3-IF(BB4&gt;18,BB4,18),0),0)+IF(Karakterlap!$F$4&gt;18,IF((Karakterlap!$F$4-IF(BC4&gt;18,BC4,18))&gt;0,Karakterlap!$F$4-IF(BC4&gt;18,BC4,18),0),0)+IF(Karakterlap!$F$5&gt;18,IF((Karakterlap!$F$5-IF(BD4&gt;18,BD4,18))&gt;0,Karakterlap!$F$5-IF(BD4&gt;18,BD4,18),0),0)+IF(Karakterlap!$F$6&gt;18,IF((Karakterlap!$F$6-IF(BE4&gt;18,BE4,18))&gt;0,Karakterlap!$F$6-IF(BE4&gt;18,BE4,18),0),0)+IF(Karakterlap!$F$7&gt;18,IF((Karakterlap!$F$7-IF(BF4&gt;18,BF4,18))&gt;0,Karakterlap!$F$7-IF(BF4&gt;18,BF4,18),0),0)+IF(Karakterlap!$F$8&gt;18,IF((Karakterlap!$F$8-IF(BG4&gt;18,BG4,18))&gt;0,Karakterlap!$F$8-IF(BG4&gt;18,BG4,18),0),0)+IF(Karakterlap!$F$9&gt;18,IF((Karakterlap!$F$9-IF(BH4&gt;18,BH4,18))&gt;0,Karakterlap!$F$9-IF(BH4&gt;18,BH4,18),0),0)+IF(Karakterlap!$F$10&gt;18,IF((Karakterlap!$F$10-IF(BI4&gt;18,BI4,18))&gt;0,Karakterlap!$F$10-IF(BI4&gt;18,BI4,18),0),0)+IF(Karakterlap!$F$11&gt;18,IF((Karakterlap!$F$11-IF(BJ4&gt;18,BJ4,18))&gt;0,Karakterlap!$F$11-IF(BJ4&gt;18,BJ4,18),0),0)+IF(Karakterlap!$F$12&gt;18,IF((Karakterlap!$F$12-IF(BK4&gt;18,BK4,18))&gt;0,Karakterlap!$F$12-IF(BK4&gt;18,BK4,18),0),0)</f>
        <v>#VALUE!</v>
      </c>
    </row>
    <row r="5" spans="1:65" x14ac:dyDescent="0.25">
      <c r="A5" s="5">
        <v>13.5</v>
      </c>
      <c r="B5" s="6">
        <v>0</v>
      </c>
      <c r="D5" s="263" t="s">
        <v>40</v>
      </c>
      <c r="E5" s="264"/>
      <c r="G5" s="5"/>
      <c r="H5" s="6"/>
      <c r="I5" s="5" t="s">
        <v>265</v>
      </c>
      <c r="J5" s="6">
        <v>12</v>
      </c>
      <c r="L5" t="s">
        <v>195</v>
      </c>
      <c r="M5">
        <v>0</v>
      </c>
      <c r="N5">
        <v>151</v>
      </c>
      <c r="O5">
        <v>311</v>
      </c>
      <c r="P5">
        <v>631</v>
      </c>
      <c r="Q5">
        <v>1301</v>
      </c>
      <c r="R5">
        <v>2701</v>
      </c>
      <c r="S5">
        <v>5401</v>
      </c>
      <c r="T5">
        <v>10801</v>
      </c>
      <c r="U5">
        <v>21601</v>
      </c>
      <c r="V5">
        <v>42001</v>
      </c>
      <c r="W5">
        <v>65001</v>
      </c>
      <c r="X5">
        <v>90001</v>
      </c>
      <c r="Y5">
        <f>IFERROR(IF(VLOOKUP(L5,Karakterlap!$P$3:$Z$4,10,FALSE)&gt;13,120001+((VLOOKUP(L5,Karakterlap!$P$3:$Z$4,10,FALSE)-13)*32500),120001),120001)</f>
        <v>120001</v>
      </c>
      <c r="Z5">
        <v>10</v>
      </c>
      <c r="AA5">
        <v>26</v>
      </c>
      <c r="AB5">
        <v>70</v>
      </c>
      <c r="AC5">
        <v>0</v>
      </c>
      <c r="AD5">
        <f>IFERROR(VLOOKUP(L5,Karakterlap!$P$3:$Z$4,10,FALSE)*12,12)</f>
        <v>12</v>
      </c>
      <c r="AE5">
        <f>IFERROR(IF(Karakterlap!$P$5="Váltott kaszt",IF(Karakterlap!$P$3=Adattábla!$L5,Karakterlap!$Y$3*5,IF(Karakterlap!$P$4=Adattábla!$L5,(Karakterlap!$Y$4-Adattábla!$I$20)*5,5)),VLOOKUP(Adattábla!$L5,Karakterlap!$P$3:$Z$4,10,FALSE)*5),5)</f>
        <v>5</v>
      </c>
      <c r="AF5">
        <v>0</v>
      </c>
      <c r="AG5">
        <v>7</v>
      </c>
      <c r="AH5">
        <f>IF(Karakterlap!$P$5="Iker kaszt",IF(Karakterlap!$P$3=L5,IFERROR((Karakterlap!$P$6*10)+(VLOOKUP(L5,Karakterlap!$P$3:$Z$4,10,FALSE)-Karakterlap!$P$6),10),IF(Karakterlap!$P$4=L5,VLOOKUP(L5,Karakterlap!$P$3:$Z$4,10,FALSE),10)),IF(Karakterlap!$P$5="Váltott kaszt",IF(L5=Karakterlap!$P$3,(Karakterlap!$Y$3+3)*10,VLOOKUP(L5,Karakterlap!$P$3:$Z$4,10,FALSE)*10),IFERROR(VLOOKUP(L5,Karakterlap!$P$3:$Z$4,10,FALSE)*10,10)))</f>
        <v>10</v>
      </c>
      <c r="AI5">
        <v>0</v>
      </c>
      <c r="AJ5">
        <v>8</v>
      </c>
      <c r="AK5">
        <v>7</v>
      </c>
      <c r="AL5">
        <f>IFERROR(VLOOKUP(L5,Karakterlap!$P$3:$Z$4,10,FALSE)*($E$18+5),$E$18+5)</f>
        <v>11</v>
      </c>
      <c r="AN5" t="s">
        <v>230</v>
      </c>
      <c r="AR5" s="17">
        <v>40</v>
      </c>
      <c r="AS5" s="17">
        <v>25</v>
      </c>
      <c r="BA5">
        <f>IFERROR(IF(Karakterlap!$P$6&gt;13,120001+((Karakterlap!$P$6-13)*32500),120001),120001)</f>
        <v>120001</v>
      </c>
      <c r="BB5" s="40">
        <f>VLOOKUP("k6+14",$I$2:$J$11,2,FALSE)+IFERROR(VLOOKUP(Karakterlap!$V$7,$A$24:$C$33,3,FALSE),0)</f>
        <v>18</v>
      </c>
      <c r="BC5" s="40">
        <f>VLOOKUP("k6+14",$I$2:$J$11,2,FALSE)+IFERROR(VLOOKUP(Karakterlap!$V$7,$A$24:$D$33,4,FALSE),0)</f>
        <v>18</v>
      </c>
      <c r="BD5" s="40">
        <f>VLOOKUP("k10+8",$I$2:$J$11,2,FALSE)+IFERROR(VLOOKUP(Karakterlap!$V$7,$A$24:$E$33,5,FALSE),0)</f>
        <v>14</v>
      </c>
      <c r="BE5" s="40">
        <f>VLOOKUP("2k6+6",$I$2:$J$11,2,FALSE)+IFERROR(VLOOKUP(Karakterlap!$V$7,$A$24:$F$33,6,FALSE),0)</f>
        <v>13</v>
      </c>
      <c r="BF5" s="40">
        <f>VLOOKUP("k10+10",$I$2:$J$11,2,FALSE)+IFERROR(VLOOKUP(Karakterlap!$V$7,$A$24:$G$33,7,FALSE),0)</f>
        <v>16</v>
      </c>
      <c r="BG5" s="40">
        <f>VLOOKUP("3k6(2x)",$I$2:$J$11,2,FALSE)+IFERROR(VLOOKUP(Karakterlap!$V$7,$A$24:$H$33,8,FALSE),0)</f>
        <v>11</v>
      </c>
      <c r="BH5" s="40">
        <f>VLOOKUP("3k6",$I$2:$J$11,2,FALSE)+IFERROR(VLOOKUP(Karakterlap!$V$7,$A$24:$I$33,9,FALSE),0)</f>
        <v>10</v>
      </c>
      <c r="BI5" s="40">
        <f>VLOOKUP("2k6+6",$I$2:$J$11,2,FALSE)</f>
        <v>13</v>
      </c>
      <c r="BJ5" s="40">
        <f>VLOOKUP("3k6",$I$2:$J$11,2,FALSE)-1+IFERROR(VLOOKUP(Karakterlap!$V$7,$A$24:$J$33,10,FALSE),0)</f>
        <v>9</v>
      </c>
      <c r="BK5" s="40">
        <f>VLOOKUP("k10+8",$I$2:$J$11,2,FALSE)</f>
        <v>14</v>
      </c>
      <c r="BL5" s="40">
        <f>IF((SUM(Karakterlap!$F$3:$F$12)-SUM(BB5:BK5))&lt;0,0,SUM(Karakterlap!$F$3:$F$12)-SUM(BB5:BK5))</f>
        <v>0</v>
      </c>
      <c r="BM5" t="e">
        <f>IF(Karakterlap!$F$3&gt;18,IF((Karakterlap!$F$3-IF(BB5&gt;18,BB5,18))&gt;0,Karakterlap!$F$3-IF(BB5&gt;18,BB5,18),0),0)+IF(Karakterlap!$F$4&gt;18,IF((Karakterlap!$F$4-IF(BC5&gt;18,BC5,18))&gt;0,Karakterlap!$F$4-IF(BC5&gt;18,BC5,18),0),0)+IF(Karakterlap!$F$5&gt;18,IF((Karakterlap!$F$5-IF(BD5&gt;18,BD5,18))&gt;0,Karakterlap!$F$5-IF(BD5&gt;18,BD5,18),0),0)+IF(Karakterlap!$F$6&gt;18,IF((Karakterlap!$F$6-IF(BE5&gt;18,BE5,18))&gt;0,Karakterlap!$F$6-IF(BE5&gt;18,BE5,18),0),0)+IF(Karakterlap!$F$7&gt;18,IF((Karakterlap!$F$7-IF(BF5&gt;18,BF5,18))&gt;0,Karakterlap!$F$7-IF(BF5&gt;18,BF5,18),0),0)+IF(Karakterlap!$F$8&gt;18,IF((Karakterlap!$F$8-IF(BG5&gt;18,BG5,18))&gt;0,Karakterlap!$F$8-IF(BG5&gt;18,BG5,18),0),0)+IF(Karakterlap!$F$9&gt;18,IF((Karakterlap!$F$9-IF(BH5&gt;18,BH5,18))&gt;0,Karakterlap!$F$9-IF(BH5&gt;18,BH5,18),0),0)+IF(Karakterlap!$F$10&gt;18,IF((Karakterlap!$F$10-IF(BI5&gt;18,BI5,18))&gt;0,Karakterlap!$F$10-IF(BI5&gt;18,BI5,18),0),0)+IF(Karakterlap!$F$11&gt;18,IF((Karakterlap!$F$11-IF(BJ5&gt;18,BJ5,18))&gt;0,Karakterlap!$F$11-IF(BJ5&gt;18,BJ5,18),0),0)+IF(Karakterlap!$F$12&gt;18,IF((Karakterlap!$F$12-IF(BK5&gt;18,BK5,18))&gt;0,Karakterlap!$F$12-IF(BK5&gt;18,BK5,18),0),0)</f>
        <v>#VALUE!</v>
      </c>
    </row>
    <row r="6" spans="1:65" x14ac:dyDescent="0.25">
      <c r="A6" s="5">
        <v>14</v>
      </c>
      <c r="B6" s="6">
        <v>0</v>
      </c>
      <c r="D6" s="5"/>
      <c r="E6" s="6" t="s">
        <v>41</v>
      </c>
      <c r="G6" s="5"/>
      <c r="H6" s="6"/>
      <c r="I6" s="5" t="s">
        <v>266</v>
      </c>
      <c r="J6" s="6">
        <v>13</v>
      </c>
      <c r="L6" t="s">
        <v>196</v>
      </c>
      <c r="M6">
        <v>0</v>
      </c>
      <c r="N6">
        <v>161</v>
      </c>
      <c r="O6">
        <v>321</v>
      </c>
      <c r="P6">
        <v>641</v>
      </c>
      <c r="Q6">
        <v>1441</v>
      </c>
      <c r="R6">
        <v>2801</v>
      </c>
      <c r="S6">
        <v>5601</v>
      </c>
      <c r="T6">
        <v>10001</v>
      </c>
      <c r="U6">
        <v>20001</v>
      </c>
      <c r="V6">
        <v>40001</v>
      </c>
      <c r="W6">
        <v>60001</v>
      </c>
      <c r="X6">
        <v>80001</v>
      </c>
      <c r="Y6">
        <f>IFERROR(IF(VLOOKUP(L6,Karakterlap!$P$3:$Z$4,10,FALSE)&gt;13,112001+((VLOOKUP(L6,Karakterlap!$P$3:$Z$4,10,FALSE)-13)*31200),112001),112001)</f>
        <v>112001</v>
      </c>
      <c r="Z6">
        <v>9</v>
      </c>
      <c r="AA6">
        <v>20</v>
      </c>
      <c r="AB6">
        <v>75</v>
      </c>
      <c r="AC6">
        <v>0</v>
      </c>
      <c r="AD6">
        <f>IFERROR(VLOOKUP(L6,Karakterlap!$P$3:$Z$4,10,FALSE)*11,11)</f>
        <v>11</v>
      </c>
      <c r="AE6">
        <f>IFERROR(IF(Karakterlap!$P$5="Váltott kaszt",IF(Karakterlap!$P$3=Adattábla!$L6,Karakterlap!$Y$3*3,IF(Karakterlap!$P$4=Adattábla!$L6,(Karakterlap!$Y$4-Adattábla!$I$20)*3,3)),VLOOKUP(Adattábla!$L6,Karakterlap!$P$3:$Z$4,10,FALSE)*3),3)</f>
        <v>3</v>
      </c>
      <c r="AF6">
        <f>IFERROR(IF(Karakterlap!$P$5="Váltott kaszt",IF(Karakterlap!$P$3=Adattábla!$L6,Karakterlap!$Y$3*3,IF(Karakterlap!$P$4=Adattábla!$L6,(Karakterlap!$Y$4-Adattábla!$I$20)*3,3)),VLOOKUP(Adattábla!$L6,Karakterlap!$P$3:$Z$4,10,FALSE)*3),3)</f>
        <v>3</v>
      </c>
      <c r="AG6">
        <v>10</v>
      </c>
      <c r="AH6">
        <f>IF(Karakterlap!$P$5="Iker kaszt",IF(Karakterlap!$P$3=L6,IFERROR((Karakterlap!$P$6*14)+(VLOOKUP(L6,Karakterlap!$P$3:$Z$4,10,FALSE)-Karakterlap!$P$6),14),IF(Karakterlap!$P$4=L6,VLOOKUP(L6,Karakterlap!$P$3:$Z$4,10,FALSE),14)),IF(Karakterlap!$P$5="Váltott kaszt",IF(L6=Karakterlap!$P$3,(Karakterlap!$Y$3+3)*14,VLOOKUP(L6,Karakterlap!$P$3:$Z$4,10,FALSE)*14),IFERROR(VLOOKUP(L6,Karakterlap!$P$3:$Z$4,10,FALSE)*14,14)))</f>
        <v>14</v>
      </c>
      <c r="AI6">
        <v>0</v>
      </c>
      <c r="AJ6">
        <v>7</v>
      </c>
      <c r="AK6">
        <v>6</v>
      </c>
      <c r="AL6">
        <f>IFERROR(VLOOKUP(L6,Karakterlap!$P$3:$Z$4,10,FALSE)*($E$18+4),$E$18+4)</f>
        <v>10</v>
      </c>
      <c r="AN6" t="s">
        <v>115</v>
      </c>
      <c r="BA6">
        <f>IFERROR(IF(Karakterlap!$P$6&gt;13,112001+((Karakterlap!$P$6-13)*31200),112001),112001)</f>
        <v>112001</v>
      </c>
      <c r="BB6" s="40">
        <f>VLOOKUP("k6+12",$I$2:$J$11,2,FALSE)+IFERROR(VLOOKUP(Karakterlap!$V$7,$A$24:$C$33,3,FALSE),0)</f>
        <v>16</v>
      </c>
      <c r="BC6" s="40">
        <f>VLOOKUP("k10+8",$I$2:$J$11,2,FALSE)+IFERROR(VLOOKUP(Karakterlap!$V$7,$A$24:$D$33,4,FALSE),0)</f>
        <v>14</v>
      </c>
      <c r="BD6" s="40">
        <f>VLOOKUP("2k6+6",$I$2:$J$11,2,FALSE)+IFERROR(VLOOKUP(Karakterlap!$V$7,$A$24:$E$33,5,FALSE),0)</f>
        <v>13</v>
      </c>
      <c r="BE6" s="40">
        <f>VLOOKUP("2k6+6",$I$2:$J$11,2,FALSE)+IFERROR(VLOOKUP(Karakterlap!$V$7,$A$24:$F$33,6,FALSE),0)</f>
        <v>13</v>
      </c>
      <c r="BF6" s="40">
        <f>VLOOKUP("k10+10",$I$2:$J$11,2,FALSE)+IFERROR(VLOOKUP(Karakterlap!$V$7,$A$24:$G$33,7,FALSE),0)</f>
        <v>16</v>
      </c>
      <c r="BG6" s="40">
        <f>VLOOKUP("3k6(2x)",$I$2:$J$11,2,FALSE)+IFERROR(VLOOKUP(Karakterlap!$V$7,$A$24:$H$33,8,FALSE),0)</f>
        <v>11</v>
      </c>
      <c r="BH6" s="40">
        <f>VLOOKUP("3k6(2x)",$I$2:$J$11,2,FALSE)+IFERROR(VLOOKUP(Karakterlap!$V$7,$A$24:$I$33,9,FALSE),0)</f>
        <v>11</v>
      </c>
      <c r="BI6" s="40">
        <f>VLOOKUP("2k6+6",$I$2:$J$11,2,FALSE)</f>
        <v>13</v>
      </c>
      <c r="BJ6" s="40">
        <f>VLOOKUP("3k6(2x)",$I$2:$J$11,2,FALSE)+IFERROR(VLOOKUP(Karakterlap!$V$7,$A$24:$J$33,10,FALSE),0)</f>
        <v>11</v>
      </c>
      <c r="BK6" s="40">
        <f>VLOOKUP("2k6+6",$I$2:$J$11,2,FALSE)</f>
        <v>13</v>
      </c>
      <c r="BL6" s="40">
        <f>IF((SUM(Karakterlap!$F$3:$F$12)-SUM(BB6:BK6))&lt;0,0,SUM(Karakterlap!$F$3:$F$12)-SUM(BB6:BK6))</f>
        <v>0</v>
      </c>
      <c r="BM6" t="e">
        <f>IF(Karakterlap!$F$3&gt;18,IF((Karakterlap!$F$3-IF(BB6&gt;18,BB6,18))&gt;0,Karakterlap!$F$3-IF(BB6&gt;18,BB6,18),0),0)+IF(Karakterlap!$F$4&gt;18,IF((Karakterlap!$F$4-IF(BC6&gt;18,BC6,18))&gt;0,Karakterlap!$F$4-IF(BC6&gt;18,BC6,18),0),0)+IF(Karakterlap!$F$5&gt;18,IF((Karakterlap!$F$5-IF(BD6&gt;18,BD6,18))&gt;0,Karakterlap!$F$5-IF(BD6&gt;18,BD6,18),0),0)+IF(Karakterlap!$F$6&gt;18,IF((Karakterlap!$F$6-IF(BE6&gt;18,BE6,18))&gt;0,Karakterlap!$F$6-IF(BE6&gt;18,BE6,18),0),0)+IF(Karakterlap!$F$7&gt;18,IF((Karakterlap!$F$7-IF(BF6&gt;18,BF6,18))&gt;0,Karakterlap!$F$7-IF(BF6&gt;18,BF6,18),0),0)+IF(Karakterlap!$F$8&gt;18,IF((Karakterlap!$F$8-IF(BG6&gt;18,BG6,18))&gt;0,Karakterlap!$F$8-IF(BG6&gt;18,BG6,18),0),0)+IF(Karakterlap!$F$9&gt;18,IF((Karakterlap!$F$9-IF(BH6&gt;18,BH6,18))&gt;0,Karakterlap!$F$9-IF(BH6&gt;18,BH6,18),0),0)+IF(Karakterlap!$F$10&gt;18,IF((Karakterlap!$F$10-IF(BI6&gt;18,BI6,18))&gt;0,Karakterlap!$F$10-IF(BI6&gt;18,BI6,18),0),0)+IF(Karakterlap!$F$11&gt;18,IF((Karakterlap!$F$11-IF(BJ6&gt;18,BJ6,18))&gt;0,Karakterlap!$F$11-IF(BJ6&gt;18,BJ6,18),0),0)+IF(Karakterlap!$F$12&gt;18,IF((Karakterlap!$F$12-IF(BK6&gt;18,BK6,18))&gt;0,Karakterlap!$F$12-IF(BK6&gt;18,BK6,18),0),0)</f>
        <v>#VALUE!</v>
      </c>
    </row>
    <row r="7" spans="1:65" x14ac:dyDescent="0.25">
      <c r="A7" s="5">
        <v>14.5</v>
      </c>
      <c r="B7" s="6">
        <v>0</v>
      </c>
      <c r="D7" s="7"/>
      <c r="E7" s="2" t="s">
        <v>42</v>
      </c>
      <c r="G7" s="5"/>
      <c r="H7" s="6"/>
      <c r="I7" s="5" t="s">
        <v>267</v>
      </c>
      <c r="J7" s="6">
        <v>14</v>
      </c>
      <c r="L7" t="s">
        <v>197</v>
      </c>
      <c r="M7">
        <v>0</v>
      </c>
      <c r="N7">
        <v>161</v>
      </c>
      <c r="O7">
        <v>321</v>
      </c>
      <c r="P7">
        <v>641</v>
      </c>
      <c r="Q7">
        <v>1441</v>
      </c>
      <c r="R7">
        <v>2801</v>
      </c>
      <c r="S7">
        <v>5601</v>
      </c>
      <c r="T7">
        <v>10001</v>
      </c>
      <c r="U7">
        <v>20001</v>
      </c>
      <c r="V7">
        <v>40001</v>
      </c>
      <c r="W7">
        <v>60001</v>
      </c>
      <c r="X7">
        <v>80001</v>
      </c>
      <c r="Y7">
        <f>IFERROR(IF(VLOOKUP(L7,Karakterlap!$P$3:$Z$4,10,FALSE)&gt;13,112001+((VLOOKUP(L7,Karakterlap!$P$3:$Z$4,10,FALSE)-13)*31200),112001),112001)</f>
        <v>112001</v>
      </c>
      <c r="Z7">
        <v>9</v>
      </c>
      <c r="AA7">
        <v>20</v>
      </c>
      <c r="AB7">
        <v>75</v>
      </c>
      <c r="AC7">
        <v>0</v>
      </c>
      <c r="AD7">
        <f>IFERROR(VLOOKUP(L7,Karakterlap!$P$3:$Z$4,10,FALSE)*11,11)</f>
        <v>11</v>
      </c>
      <c r="AE7">
        <f>IFERROR(IF(Karakterlap!$P$5="Váltott kaszt",IF(Karakterlap!$P$3=Adattábla!$L7,Karakterlap!$Y$3*3,IF(Karakterlap!$P$4=Adattábla!$L7,(Karakterlap!$Y$4-Adattábla!$I$20)*3,3)),VLOOKUP(Adattábla!$L7,Karakterlap!$P$3:$Z$4,10,FALSE)*3),3)</f>
        <v>3</v>
      </c>
      <c r="AF7">
        <f>IFERROR(IF(Karakterlap!$P$5="Váltott kaszt",IF(Karakterlap!$P$3=Adattábla!$L7,Karakterlap!$Y$3*3,IF(Karakterlap!$P$4=Adattábla!$L7,(Karakterlap!$Y$4-Adattábla!$I$20)*3,3)),VLOOKUP(Adattábla!$L7,Karakterlap!$P$3:$Z$4,10,FALSE)*3),3)</f>
        <v>3</v>
      </c>
      <c r="AG7">
        <v>10</v>
      </c>
      <c r="AH7">
        <f>IF(Karakterlap!$P$5="Iker kaszt",IF(Karakterlap!$P$3=L7,IFERROR((Karakterlap!$P$6*14)+(VLOOKUP(L7,Karakterlap!$P$3:$Z$4,10,FALSE)-Karakterlap!$P$6),14),IF(Karakterlap!$P$4=L7,VLOOKUP(L7,Karakterlap!$P$3:$Z$4,10,FALSE),14)),IF(Karakterlap!$P$5="Váltott kaszt",IF(L7=Karakterlap!$P$3,(Karakterlap!$Y$3+3)*14,VLOOKUP(L7,Karakterlap!$P$3:$Z$4,10,FALSE)*14),IFERROR(VLOOKUP(L7,Karakterlap!$P$3:$Z$4,10,FALSE)*14,14)))</f>
        <v>14</v>
      </c>
      <c r="AI7">
        <v>0</v>
      </c>
      <c r="AJ7">
        <v>7</v>
      </c>
      <c r="AK7">
        <v>6</v>
      </c>
      <c r="AL7">
        <f>IFERROR(VLOOKUP(L7,Karakterlap!$P$3:$Z$4,10,FALSE)*($E$18+4),$E$18+4)</f>
        <v>10</v>
      </c>
      <c r="AN7" t="s">
        <v>115</v>
      </c>
      <c r="AS7" s="17">
        <v>10</v>
      </c>
      <c r="BA7">
        <f>IFERROR(IF(Karakterlap!$P$6&gt;13,112001+((Karakterlap!$P$6-13)*31200),112001),112001)</f>
        <v>112001</v>
      </c>
      <c r="BB7" s="40">
        <f>VLOOKUP("k6+12",$I$2:$J$11,2,FALSE)+IFERROR(VLOOKUP(Karakterlap!$V$7,$A$24:$C$33,3,FALSE),0)</f>
        <v>16</v>
      </c>
      <c r="BC7" s="40">
        <f>VLOOKUP("k10+8",$I$2:$J$11,2,FALSE)+IFERROR(VLOOKUP(Karakterlap!$V$7,$A$24:$D$33,4,FALSE),0)</f>
        <v>14</v>
      </c>
      <c r="BD7" s="40">
        <f>VLOOKUP("2k6+6",$I$2:$J$11,2,FALSE)+IFERROR(VLOOKUP(Karakterlap!$V$7,$A$24:$E$33,5,FALSE),0)</f>
        <v>13</v>
      </c>
      <c r="BE7" s="40">
        <f>VLOOKUP("2k6+6",$I$2:$J$11,2,FALSE)+IFERROR(VLOOKUP(Karakterlap!$V$7,$A$24:$F$33,6,FALSE),0)</f>
        <v>13</v>
      </c>
      <c r="BF7" s="40">
        <f>VLOOKUP("k10+10",$I$2:$J$11,2,FALSE)+IFERROR(VLOOKUP(Karakterlap!$V$7,$A$24:$G$33,7,FALSE),0)</f>
        <v>16</v>
      </c>
      <c r="BG7" s="40">
        <f>VLOOKUP("3k6(2x)",$I$2:$J$11,2,FALSE)+IFERROR(VLOOKUP(Karakterlap!$V$7,$A$24:$H$33,8,FALSE),0)</f>
        <v>11</v>
      </c>
      <c r="BH7" s="40">
        <f>VLOOKUP("3k6(2x)",$I$2:$J$11,2,FALSE)+IFERROR(VLOOKUP(Karakterlap!$V$7,$A$24:$I$33,9,FALSE),0)</f>
        <v>11</v>
      </c>
      <c r="BI7" s="40">
        <f>VLOOKUP("2k6+6",$I$2:$J$11,2,FALSE)</f>
        <v>13</v>
      </c>
      <c r="BJ7" s="40">
        <f>VLOOKUP("3k6(2x)",$I$2:$J$11,2,FALSE)+IFERROR(VLOOKUP(Karakterlap!$V$7,$A$24:$J$33,10,FALSE),0)</f>
        <v>11</v>
      </c>
      <c r="BK7" s="40">
        <f>VLOOKUP("2k6+6",$I$2:$J$11,2,FALSE)</f>
        <v>13</v>
      </c>
      <c r="BL7" s="40">
        <f>IF((SUM(Karakterlap!$F$3:$F$12)-SUM(BB7:BK7))&lt;0,0,SUM(Karakterlap!$F$3:$F$12)-SUM(BB7:BK7))</f>
        <v>0</v>
      </c>
      <c r="BM7" t="e">
        <f>IF(Karakterlap!$F$3&gt;18,IF((Karakterlap!$F$3-IF(BB7&gt;18,BB7,18))&gt;0,Karakterlap!$F$3-IF(BB7&gt;18,BB7,18),0),0)+IF(Karakterlap!$F$4&gt;18,IF((Karakterlap!$F$4-IF(BC7&gt;18,BC7,18))&gt;0,Karakterlap!$F$4-IF(BC7&gt;18,BC7,18),0),0)+IF(Karakterlap!$F$5&gt;18,IF((Karakterlap!$F$5-IF(BD7&gt;18,BD7,18))&gt;0,Karakterlap!$F$5-IF(BD7&gt;18,BD7,18),0),0)+IF(Karakterlap!$F$6&gt;18,IF((Karakterlap!$F$6-IF(BE7&gt;18,BE7,18))&gt;0,Karakterlap!$F$6-IF(BE7&gt;18,BE7,18),0),0)+IF(Karakterlap!$F$7&gt;18,IF((Karakterlap!$F$7-IF(BF7&gt;18,BF7,18))&gt;0,Karakterlap!$F$7-IF(BF7&gt;18,BF7,18),0),0)+IF(Karakterlap!$F$8&gt;18,IF((Karakterlap!$F$8-IF(BG7&gt;18,BG7,18))&gt;0,Karakterlap!$F$8-IF(BG7&gt;18,BG7,18),0),0)+IF(Karakterlap!$F$9&gt;18,IF((Karakterlap!$F$9-IF(BH7&gt;18,BH7,18))&gt;0,Karakterlap!$F$9-IF(BH7&gt;18,BH7,18),0),0)+IF(Karakterlap!$F$10&gt;18,IF((Karakterlap!$F$10-IF(BI7&gt;18,BI7,18))&gt;0,Karakterlap!$F$10-IF(BI7&gt;18,BI7,18),0),0)+IF(Karakterlap!$F$11&gt;18,IF((Karakterlap!$F$11-IF(BJ7&gt;18,BJ7,18))&gt;0,Karakterlap!$F$11-IF(BJ7&gt;18,BJ7,18),0),0)+IF(Karakterlap!$F$12&gt;18,IF((Karakterlap!$F$12-IF(BK7&gt;18,BK7,18))&gt;0,Karakterlap!$F$12-IF(BK7&gt;18,BK7,18),0),0)</f>
        <v>#VALUE!</v>
      </c>
    </row>
    <row r="8" spans="1:65" x14ac:dyDescent="0.25">
      <c r="A8" s="5">
        <v>15</v>
      </c>
      <c r="B8" s="6">
        <v>0</v>
      </c>
      <c r="G8" s="5"/>
      <c r="H8" s="6"/>
      <c r="I8" s="5" t="s">
        <v>268</v>
      </c>
      <c r="J8" s="6">
        <v>15</v>
      </c>
      <c r="L8" t="s">
        <v>198</v>
      </c>
      <c r="M8">
        <v>0</v>
      </c>
      <c r="N8">
        <v>161</v>
      </c>
      <c r="O8">
        <v>321</v>
      </c>
      <c r="P8">
        <v>641</v>
      </c>
      <c r="Q8">
        <v>1441</v>
      </c>
      <c r="R8">
        <v>2801</v>
      </c>
      <c r="S8">
        <v>5601</v>
      </c>
      <c r="T8">
        <v>10001</v>
      </c>
      <c r="U8">
        <v>20001</v>
      </c>
      <c r="V8">
        <v>40001</v>
      </c>
      <c r="W8">
        <v>60001</v>
      </c>
      <c r="X8">
        <v>80001</v>
      </c>
      <c r="Y8">
        <f>IFERROR(IF(VLOOKUP(L8,Karakterlap!$P$3:$Z$4,10,FALSE)&gt;13,112001+((VLOOKUP(L8,Karakterlap!$P$3:$Z$4,10,FALSE)-13)*31200),112001),112001)</f>
        <v>112001</v>
      </c>
      <c r="Z8">
        <v>9</v>
      </c>
      <c r="AA8">
        <v>20</v>
      </c>
      <c r="AB8">
        <v>75</v>
      </c>
      <c r="AC8">
        <v>0</v>
      </c>
      <c r="AD8">
        <f>IFERROR(VLOOKUP(L8,Karakterlap!$P$3:$Z$4,10,FALSE)*11,11)</f>
        <v>11</v>
      </c>
      <c r="AE8">
        <f>IFERROR(IF(Karakterlap!$P$5="Váltott kaszt",IF(Karakterlap!$P$3=Adattábla!$L8,Karakterlap!$Y$3*3,IF(Karakterlap!$P$4=Adattábla!$L8,(Karakterlap!$Y$4-Adattábla!$I$20)*3,3)),VLOOKUP(Adattábla!$L8,Karakterlap!$P$3:$Z$4,10,FALSE)*3),3)</f>
        <v>3</v>
      </c>
      <c r="AF8">
        <f>IFERROR(IF(Karakterlap!$P$5="Váltott kaszt",IF(Karakterlap!$P$3=Adattábla!$L8,Karakterlap!$Y$3*3,IF(Karakterlap!$P$4=Adattábla!$L8,(Karakterlap!$Y$4-Adattábla!$I$20)*3,3)),VLOOKUP(Adattábla!$L8,Karakterlap!$P$3:$Z$4,10,FALSE)*3),3)</f>
        <v>3</v>
      </c>
      <c r="AG8">
        <v>10</v>
      </c>
      <c r="AH8">
        <f>IF(Karakterlap!$P$5="Iker kaszt",IF(Karakterlap!$P$3=L8,IFERROR((Karakterlap!$P$6*14)+(VLOOKUP(L8,Karakterlap!$P$3:$Z$4,10,FALSE)-Karakterlap!$P$6),14),IF(Karakterlap!$P$4=L8,VLOOKUP(L8,Karakterlap!$P$3:$Z$4,10,FALSE),14)),IF(Karakterlap!$P$5="Váltott kaszt",IF(L8=Karakterlap!$P$3,(Karakterlap!$Y$3+3)*14,VLOOKUP(L8,Karakterlap!$P$3:$Z$4,10,FALSE)*14),IFERROR(VLOOKUP(L8,Karakterlap!$P$3:$Z$4,10,FALSE)*14,14)))</f>
        <v>14</v>
      </c>
      <c r="AI8">
        <v>0</v>
      </c>
      <c r="AJ8">
        <v>7</v>
      </c>
      <c r="AK8">
        <v>6</v>
      </c>
      <c r="AL8">
        <f>IFERROR(VLOOKUP(L8,Karakterlap!$P$3:$Z$4,10,FALSE)*($E$18+4),$E$18+4)</f>
        <v>10</v>
      </c>
      <c r="AN8" t="s">
        <v>115</v>
      </c>
      <c r="BA8">
        <f>IFERROR(IF(Karakterlap!$P$6&gt;13,112001+((Karakterlap!$P$6-13)*31200),112001),112001)</f>
        <v>112001</v>
      </c>
      <c r="BB8" s="40">
        <f>VLOOKUP("k6+12",$I$2:$J$11,2,FALSE)+IFERROR(VLOOKUP(Karakterlap!$V$7,$A$24:$C$33,3,FALSE),0)</f>
        <v>16</v>
      </c>
      <c r="BC8" s="40">
        <f>VLOOKUP("k10+8",$I$2:$J$11,2,FALSE)+IFERROR(VLOOKUP(Karakterlap!$V$7,$A$24:$D$33,4,FALSE),0)</f>
        <v>14</v>
      </c>
      <c r="BD8" s="40">
        <f>VLOOKUP("2k6+6",$I$2:$J$11,2,FALSE)+IFERROR(VLOOKUP(Karakterlap!$V$7,$A$24:$E$33,5,FALSE),0)</f>
        <v>13</v>
      </c>
      <c r="BE8" s="40">
        <f>VLOOKUP("2k6+6",$I$2:$J$11,2,FALSE)+IFERROR(VLOOKUP(Karakterlap!$V$7,$A$24:$F$33,6,FALSE),0)</f>
        <v>13</v>
      </c>
      <c r="BF8" s="40">
        <f>VLOOKUP("k10+10",$I$2:$J$11,2,FALSE)+IFERROR(VLOOKUP(Karakterlap!$V$7,$A$24:$G$33,7,FALSE),0)</f>
        <v>16</v>
      </c>
      <c r="BG8" s="40">
        <f>VLOOKUP("3k6(2x)",$I$2:$J$11,2,FALSE)+IFERROR(VLOOKUP(Karakterlap!$V$7,$A$24:$H$33,8,FALSE),0)</f>
        <v>11</v>
      </c>
      <c r="BH8" s="40">
        <f>VLOOKUP("3k6(2x)",$I$2:$J$11,2,FALSE)+IFERROR(VLOOKUP(Karakterlap!$V$7,$A$24:$I$33,9,FALSE),0)</f>
        <v>11</v>
      </c>
      <c r="BI8" s="40">
        <f t="shared" ref="BI8:BI40" si="0">VLOOKUP("2k6+6",$I$2:$J$11,2,FALSE)</f>
        <v>13</v>
      </c>
      <c r="BJ8" s="40">
        <f>VLOOKUP("3k6(2x)",$I$2:$J$11,2,FALSE)+IFERROR(VLOOKUP(Karakterlap!$V$7,$A$24:$J$33,10,FALSE),0)</f>
        <v>11</v>
      </c>
      <c r="BK8" s="40">
        <f t="shared" ref="BK8:BK40" si="1">VLOOKUP("2k6+6",$I$2:$J$11,2,FALSE)</f>
        <v>13</v>
      </c>
      <c r="BL8" s="40">
        <f>IF((SUM(Karakterlap!$F$3:$F$12)-SUM(BB8:BK8))&lt;0,0,SUM(Karakterlap!$F$3:$F$12)-SUM(BB8:BK8))</f>
        <v>0</v>
      </c>
      <c r="BM8" t="e">
        <f>IF(Karakterlap!$F$3&gt;18,IF((Karakterlap!$F$3-IF(BB8&gt;18,BB8,18))&gt;0,Karakterlap!$F$3-IF(BB8&gt;18,BB8,18),0),0)+IF(Karakterlap!$F$4&gt;18,IF((Karakterlap!$F$4-IF(BC8&gt;18,BC8,18))&gt;0,Karakterlap!$F$4-IF(BC8&gt;18,BC8,18),0),0)+IF(Karakterlap!$F$5&gt;18,IF((Karakterlap!$F$5-IF(BD8&gt;18,BD8,18))&gt;0,Karakterlap!$F$5-IF(BD8&gt;18,BD8,18),0),0)+IF(Karakterlap!$F$6&gt;18,IF((Karakterlap!$F$6-IF(BE8&gt;18,BE8,18))&gt;0,Karakterlap!$F$6-IF(BE8&gt;18,BE8,18),0),0)+IF(Karakterlap!$F$7&gt;18,IF((Karakterlap!$F$7-IF(BF8&gt;18,BF8,18))&gt;0,Karakterlap!$F$7-IF(BF8&gt;18,BF8,18),0),0)+IF(Karakterlap!$F$8&gt;18,IF((Karakterlap!$F$8-IF(BG8&gt;18,BG8,18))&gt;0,Karakterlap!$F$8-IF(BG8&gt;18,BG8,18),0),0)+IF(Karakterlap!$F$9&gt;18,IF((Karakterlap!$F$9-IF(BH8&gt;18,BH8,18))&gt;0,Karakterlap!$F$9-IF(BH8&gt;18,BH8,18),0),0)+IF(Karakterlap!$F$10&gt;18,IF((Karakterlap!$F$10-IF(BI8&gt;18,BI8,18))&gt;0,Karakterlap!$F$10-IF(BI8&gt;18,BI8,18),0),0)+IF(Karakterlap!$F$11&gt;18,IF((Karakterlap!$F$11-IF(BJ8&gt;18,BJ8,18))&gt;0,Karakterlap!$F$11-IF(BJ8&gt;18,BJ8,18),0),0)+IF(Karakterlap!$F$12&gt;18,IF((Karakterlap!$F$12-IF(BK8&gt;18,BK8,18))&gt;0,Karakterlap!$F$12-IF(BK8&gt;18,BK8,18),0),0)</f>
        <v>#VALUE!</v>
      </c>
    </row>
    <row r="9" spans="1:65" x14ac:dyDescent="0.25">
      <c r="A9" s="5"/>
      <c r="B9" s="6"/>
      <c r="D9" s="3" t="s">
        <v>82</v>
      </c>
      <c r="E9" s="4" t="s">
        <v>110</v>
      </c>
      <c r="G9" s="5"/>
      <c r="H9" s="6"/>
      <c r="I9" s="5" t="s">
        <v>269</v>
      </c>
      <c r="J9" s="6">
        <v>16</v>
      </c>
      <c r="L9" t="s">
        <v>199</v>
      </c>
      <c r="M9">
        <v>0</v>
      </c>
      <c r="N9">
        <v>161</v>
      </c>
      <c r="O9">
        <v>321</v>
      </c>
      <c r="P9">
        <v>641</v>
      </c>
      <c r="Q9">
        <v>1441</v>
      </c>
      <c r="R9">
        <v>2801</v>
      </c>
      <c r="S9">
        <v>5601</v>
      </c>
      <c r="T9">
        <v>10001</v>
      </c>
      <c r="U9">
        <v>20001</v>
      </c>
      <c r="V9">
        <v>40001</v>
      </c>
      <c r="W9">
        <v>60001</v>
      </c>
      <c r="X9">
        <v>80001</v>
      </c>
      <c r="Y9">
        <f>IFERROR(IF(VLOOKUP(L9,Karakterlap!$P$3:$Z$4,10,FALSE)&gt;13,112001+((VLOOKUP(L9,Karakterlap!$P$3:$Z$4,10,FALSE)-13)*31200),112001),112001)</f>
        <v>112001</v>
      </c>
      <c r="Z9">
        <v>9</v>
      </c>
      <c r="AA9">
        <v>20</v>
      </c>
      <c r="AB9">
        <v>75</v>
      </c>
      <c r="AC9">
        <v>0</v>
      </c>
      <c r="AD9">
        <f>IFERROR(VLOOKUP(L9,Karakterlap!$P$3:$Z$4,10,FALSE)*11+(ROUNDDOWN(VLOOKUP(L9,Karakterlap!$P$3:$Z$4,10,FALSE)/2,0)*3),11)</f>
        <v>11</v>
      </c>
      <c r="AE9">
        <f>IFERROR(IF(Karakterlap!$P$5="Váltott kaszt",IF(Karakterlap!$P$3=Adattábla!$L9,Karakterlap!$Y$3*3,IF(Karakterlap!$P$4=Adattábla!$L9,(Karakterlap!$Y$4-Adattábla!$I$20)*3,3)),VLOOKUP(Adattábla!$L9,Karakterlap!$P$3:$Z$4,10,FALSE)*3),3)</f>
        <v>3</v>
      </c>
      <c r="AF9">
        <f>IFERROR(IF(Karakterlap!$P$5="Váltott kaszt",IF(Karakterlap!$P$3=Adattábla!$L9,Karakterlap!$Y$3*3,IF(Karakterlap!$P$4=Adattábla!$L9,(Karakterlap!$Y$4-Adattábla!$I$20)*3,3)),VLOOKUP(Adattábla!$L9,Karakterlap!$P$3:$Z$4,10,FALSE)*3),3)</f>
        <v>3</v>
      </c>
      <c r="AG9">
        <v>7</v>
      </c>
      <c r="AH9">
        <f>IF(Karakterlap!$P$5="Iker kaszt",IF(Karakterlap!$P$3=L9,IFERROR((Karakterlap!$P$6*9)+(VLOOKUP(L9,Karakterlap!$P$3:$Z$4,10,FALSE)-Karakterlap!$P$6),9),IF(Karakterlap!$P$4=L9,VLOOKUP(L9,Karakterlap!$P$3:$Z$4,10,FALSE),9)),IF(Karakterlap!$P$5="Váltott kaszt",IF(L9=Karakterlap!$P$3,(Karakterlap!$Y$3+3)*9,VLOOKUP(L9,Karakterlap!$P$3:$Z$4,10,FALSE)*9),IFERROR(VLOOKUP(L9,Karakterlap!$P$3:$Z$4,10,FALSE)*9,9)))</f>
        <v>9</v>
      </c>
      <c r="AI9">
        <v>0</v>
      </c>
      <c r="AJ9">
        <v>7</v>
      </c>
      <c r="AK9">
        <v>6</v>
      </c>
      <c r="AL9">
        <f>IFERROR(VLOOKUP(L9,Karakterlap!$P$3:$Z$4,10,FALSE)*($E$18+4),$E$18+4)</f>
        <v>10</v>
      </c>
      <c r="AN9" t="s">
        <v>115</v>
      </c>
      <c r="AQ9" s="17">
        <v>15</v>
      </c>
      <c r="AR9" s="17">
        <v>10</v>
      </c>
      <c r="AS9" s="17">
        <v>20</v>
      </c>
      <c r="AU9" s="17">
        <f>IFERROR(IF(VLOOKUP(L9,Karakterlap!$P$3:$Z$4,10,FALSE)&gt;5,30,0),0)</f>
        <v>0</v>
      </c>
      <c r="BA9">
        <f>IFERROR(IF(Karakterlap!$P$6&gt;13,112001+((Karakterlap!$P$6-13)*31200),112001),112001)</f>
        <v>112001</v>
      </c>
      <c r="BB9" s="40">
        <f>VLOOKUP("k6+12",$I$2:$J$11,2,FALSE)+IFERROR(VLOOKUP(Karakterlap!$V$7,$A$24:$C$33,3,FALSE),0)</f>
        <v>16</v>
      </c>
      <c r="BC9" s="40">
        <f>VLOOKUP("k10+8",$I$2:$J$11,2,FALSE)+IFERROR(VLOOKUP(Karakterlap!$V$7,$A$24:$D$33,4,FALSE),0)</f>
        <v>14</v>
      </c>
      <c r="BD9" s="40">
        <f>VLOOKUP("2k6+6",$I$2:$J$11,2,FALSE)+IFERROR(VLOOKUP(Karakterlap!$V$7,$A$24:$E$33,5,FALSE),0)</f>
        <v>13</v>
      </c>
      <c r="BE9" s="40">
        <f>VLOOKUP("2k6+6",$I$2:$J$11,2,FALSE)+IFERROR(VLOOKUP(Karakterlap!$V$7,$A$24:$F$33,6,FALSE),0)</f>
        <v>13</v>
      </c>
      <c r="BF9" s="40">
        <f>VLOOKUP("k10+10",$I$2:$J$11,2,FALSE)+IFERROR(VLOOKUP(Karakterlap!$V$7,$A$24:$G$33,7,FALSE),0)</f>
        <v>16</v>
      </c>
      <c r="BG9" s="40">
        <f>VLOOKUP("3k6(2x)",$I$2:$J$11,2,FALSE)+IFERROR(VLOOKUP(Karakterlap!$V$7,$A$24:$H$33,8,FALSE),0)</f>
        <v>11</v>
      </c>
      <c r="BH9" s="40">
        <f>VLOOKUP("3k6(2x)",$I$2:$J$11,2,FALSE)+IFERROR(VLOOKUP(Karakterlap!$V$7,$A$24:$I$33,9,FALSE),0)</f>
        <v>11</v>
      </c>
      <c r="BI9" s="40">
        <f t="shared" si="0"/>
        <v>13</v>
      </c>
      <c r="BJ9" s="40">
        <f>VLOOKUP("3k6(2x)",$I$2:$J$11,2,FALSE)+IFERROR(VLOOKUP(Karakterlap!$V$7,$A$24:$J$33,10,FALSE),0)</f>
        <v>11</v>
      </c>
      <c r="BK9" s="40">
        <f t="shared" si="1"/>
        <v>13</v>
      </c>
      <c r="BL9" s="40">
        <f>IF((SUM(Karakterlap!$F$3:$F$12)-SUM(BB9:BK9))&lt;0,0,SUM(Karakterlap!$F$3:$F$12)-SUM(BB9:BK9))</f>
        <v>0</v>
      </c>
      <c r="BM9" t="e">
        <f>IF(Karakterlap!$F$3&gt;18,IF((Karakterlap!$F$3-IF(BB9&gt;18,BB9,18))&gt;0,Karakterlap!$F$3-IF(BB9&gt;18,BB9,18),0),0)+IF(Karakterlap!$F$4&gt;18,IF((Karakterlap!$F$4-IF(BC9&gt;18,BC9,18))&gt;0,Karakterlap!$F$4-IF(BC9&gt;18,BC9,18),0),0)+IF(Karakterlap!$F$5&gt;18,IF((Karakterlap!$F$5-IF(BD9&gt;18,BD9,18))&gt;0,Karakterlap!$F$5-IF(BD9&gt;18,BD9,18),0),0)+IF(Karakterlap!$F$6&gt;18,IF((Karakterlap!$F$6-IF(BE9&gt;18,BE9,18))&gt;0,Karakterlap!$F$6-IF(BE9&gt;18,BE9,18),0),0)+IF(Karakterlap!$F$7&gt;18,IF((Karakterlap!$F$7-IF(BF9&gt;18,BF9,18))&gt;0,Karakterlap!$F$7-IF(BF9&gt;18,BF9,18),0),0)+IF(Karakterlap!$F$8&gt;18,IF((Karakterlap!$F$8-IF(BG9&gt;18,BG9,18))&gt;0,Karakterlap!$F$8-IF(BG9&gt;18,BG9,18),0),0)+IF(Karakterlap!$F$9&gt;18,IF((Karakterlap!$F$9-IF(BH9&gt;18,BH9,18))&gt;0,Karakterlap!$F$9-IF(BH9&gt;18,BH9,18),0),0)+IF(Karakterlap!$F$10&gt;18,IF((Karakterlap!$F$10-IF(BI9&gt;18,BI9,18))&gt;0,Karakterlap!$F$10-IF(BI9&gt;18,BI9,18),0),0)+IF(Karakterlap!$F$11&gt;18,IF((Karakterlap!$F$11-IF(BJ9&gt;18,BJ9,18))&gt;0,Karakterlap!$F$11-IF(BJ9&gt;18,BJ9,18),0),0)+IF(Karakterlap!$F$12&gt;18,IF((Karakterlap!$F$12-IF(BK9&gt;18,BK9,18))&gt;0,Karakterlap!$F$12-IF(BK9&gt;18,BK9,18),0),0)</f>
        <v>#VALUE!</v>
      </c>
    </row>
    <row r="10" spans="1:65" x14ac:dyDescent="0.25">
      <c r="A10" s="5"/>
      <c r="B10" s="6"/>
      <c r="D10" s="5" t="s">
        <v>108</v>
      </c>
      <c r="E10" s="6">
        <v>4</v>
      </c>
      <c r="G10" s="5"/>
      <c r="H10" s="6"/>
      <c r="I10" s="5" t="s">
        <v>270</v>
      </c>
      <c r="J10" s="6">
        <v>16</v>
      </c>
      <c r="L10" t="s">
        <v>201</v>
      </c>
      <c r="M10">
        <v>0</v>
      </c>
      <c r="N10">
        <v>161</v>
      </c>
      <c r="O10">
        <v>321</v>
      </c>
      <c r="P10">
        <v>641</v>
      </c>
      <c r="Q10">
        <v>1441</v>
      </c>
      <c r="R10">
        <v>2801</v>
      </c>
      <c r="S10">
        <v>5601</v>
      </c>
      <c r="T10">
        <v>10001</v>
      </c>
      <c r="U10">
        <v>20001</v>
      </c>
      <c r="V10">
        <v>40001</v>
      </c>
      <c r="W10">
        <v>60001</v>
      </c>
      <c r="X10">
        <v>80001</v>
      </c>
      <c r="Y10">
        <f>IFERROR(IF(VLOOKUP(L10,Karakterlap!$P$3:$Z$4,10,FALSE)&gt;13,112001+((VLOOKUP(L10,Karakterlap!$P$3:$Z$4,10,FALSE)-13)*31200),112001),112001)</f>
        <v>112001</v>
      </c>
      <c r="Z10">
        <v>9</v>
      </c>
      <c r="AA10">
        <v>20</v>
      </c>
      <c r="AB10">
        <v>75</v>
      </c>
      <c r="AC10">
        <v>0</v>
      </c>
      <c r="AD10">
        <f>IFERROR(VLOOKUP(L10,Karakterlap!$P$3:$Z$4,10,FALSE)*11,11)</f>
        <v>11</v>
      </c>
      <c r="AE10">
        <f>IFERROR(IF(Karakterlap!$P$5="Váltott kaszt",IF(Karakterlap!$P$3=Adattábla!$L10,Karakterlap!$Y$3*3,IF(Karakterlap!$P$4=Adattábla!$L10,(Karakterlap!$Y$4-Adattábla!$I$20)*3,3)),VLOOKUP(Adattábla!$L10,Karakterlap!$P$3:$Z$4,10,FALSE)*3),3)</f>
        <v>3</v>
      </c>
      <c r="AF10">
        <f>IFERROR(IF(Karakterlap!$P$5="Váltott kaszt",IF(Karakterlap!$P$3=Adattábla!$L10,Karakterlap!$Y$3*3,IF(Karakterlap!$P$4=Adattábla!$L10,(Karakterlap!$Y$4-Adattábla!$I$20)*3,3)),VLOOKUP(Adattábla!$L10,Karakterlap!$P$3:$Z$4,10,FALSE)*3),3)</f>
        <v>3</v>
      </c>
      <c r="AG10">
        <v>10</v>
      </c>
      <c r="AH10">
        <f>IF(Karakterlap!$P$5="Iker kaszt",IF(Karakterlap!$P$3=L10,IFERROR((Karakterlap!$P$6*14)+(VLOOKUP(L10,Karakterlap!$P$3:$Z$4,10,FALSE)-Karakterlap!$P$6),14),IF(Karakterlap!$P$4=L10,VLOOKUP(L10,Karakterlap!$P$3:$Z$4,10,FALSE),14)),IF(Karakterlap!$P$5="Váltott kaszt",IF(L10=Karakterlap!$P$3,(Karakterlap!$Y$3+3)*14,VLOOKUP(L10,Karakterlap!$P$3:$Z$4,10,FALSE)*14),IFERROR(VLOOKUP(L10,Karakterlap!$P$3:$Z$4,10,FALSE)*14,14)))</f>
        <v>14</v>
      </c>
      <c r="AI10">
        <v>0</v>
      </c>
      <c r="AJ10">
        <v>7</v>
      </c>
      <c r="AK10">
        <v>6</v>
      </c>
      <c r="AL10">
        <f>IFERROR(VLOOKUP(L10,Karakterlap!$P$3:$Z$4,10,FALSE)*($E$18+4),$E$18+4)</f>
        <v>10</v>
      </c>
      <c r="AN10" t="s">
        <v>115</v>
      </c>
      <c r="BA10">
        <f>IFERROR(IF(Karakterlap!$P$6&gt;13,112001+((Karakterlap!$P$6-13)*31200),112001),112001)</f>
        <v>112001</v>
      </c>
      <c r="BB10" s="40">
        <f>VLOOKUP("k6+12",$I$2:$J$11,2,FALSE)+IFERROR(VLOOKUP(Karakterlap!$V$7,$A$24:$C$33,3,FALSE),0)</f>
        <v>16</v>
      </c>
      <c r="BC10" s="40">
        <f>VLOOKUP("k10+8",$I$2:$J$11,2,FALSE)+IFERROR(VLOOKUP(Karakterlap!$V$7,$A$24:$D$33,4,FALSE),0)</f>
        <v>14</v>
      </c>
      <c r="BD10" s="40">
        <f>VLOOKUP("2k6+6",$I$2:$J$11,2,FALSE)+IFERROR(VLOOKUP(Karakterlap!$V$7,$A$24:$E$33,5,FALSE),0)</f>
        <v>13</v>
      </c>
      <c r="BE10" s="40">
        <f>VLOOKUP("2k6+6",$I$2:$J$11,2,FALSE)+IFERROR(VLOOKUP(Karakterlap!$V$7,$A$24:$F$33,6,FALSE),0)</f>
        <v>13</v>
      </c>
      <c r="BF10" s="40">
        <f>VLOOKUP("k10+10",$I$2:$J$11,2,FALSE)+IFERROR(VLOOKUP(Karakterlap!$V$7,$A$24:$G$33,7,FALSE),0)</f>
        <v>16</v>
      </c>
      <c r="BG10" s="40">
        <f>VLOOKUP("3k6(2x)",$I$2:$J$11,2,FALSE)+IFERROR(VLOOKUP(Karakterlap!$V$7,$A$24:$H$33,8,FALSE),0)</f>
        <v>11</v>
      </c>
      <c r="BH10" s="40">
        <f>VLOOKUP("3k6(2x)",$I$2:$J$11,2,FALSE)+IFERROR(VLOOKUP(Karakterlap!$V$7,$A$24:$I$33,9,FALSE),0)</f>
        <v>11</v>
      </c>
      <c r="BI10" s="40">
        <f t="shared" si="0"/>
        <v>13</v>
      </c>
      <c r="BJ10" s="40">
        <f>VLOOKUP("3k6(2x)",$I$2:$J$11,2,FALSE)+IFERROR(VLOOKUP(Karakterlap!$V$7,$A$24:$J$33,10,FALSE),0)</f>
        <v>11</v>
      </c>
      <c r="BK10" s="40">
        <f t="shared" si="1"/>
        <v>13</v>
      </c>
      <c r="BL10" s="40">
        <f>IF((SUM(Karakterlap!$F$3:$F$12)-SUM(BB10:BK10))&lt;0,0,SUM(Karakterlap!$F$3:$F$12)-SUM(BB10:BK10))</f>
        <v>0</v>
      </c>
      <c r="BM10" t="e">
        <f>IF(Karakterlap!$F$3&gt;18,IF((Karakterlap!$F$3-IF(BB10&gt;18,BB10,18))&gt;0,Karakterlap!$F$3-IF(BB10&gt;18,BB10,18),0),0)+IF(Karakterlap!$F$4&gt;18,IF((Karakterlap!$F$4-IF(BC10&gt;18,BC10,18))&gt;0,Karakterlap!$F$4-IF(BC10&gt;18,BC10,18),0),0)+IF(Karakterlap!$F$5&gt;18,IF((Karakterlap!$F$5-IF(BD10&gt;18,BD10,18))&gt;0,Karakterlap!$F$5-IF(BD10&gt;18,BD10,18),0),0)+IF(Karakterlap!$F$6&gt;18,IF((Karakterlap!$F$6-IF(BE10&gt;18,BE10,18))&gt;0,Karakterlap!$F$6-IF(BE10&gt;18,BE10,18),0),0)+IF(Karakterlap!$F$7&gt;18,IF((Karakterlap!$F$7-IF(BF10&gt;18,BF10,18))&gt;0,Karakterlap!$F$7-IF(BF10&gt;18,BF10,18),0),0)+IF(Karakterlap!$F$8&gt;18,IF((Karakterlap!$F$8-IF(BG10&gt;18,BG10,18))&gt;0,Karakterlap!$F$8-IF(BG10&gt;18,BG10,18),0),0)+IF(Karakterlap!$F$9&gt;18,IF((Karakterlap!$F$9-IF(BH10&gt;18,BH10,18))&gt;0,Karakterlap!$F$9-IF(BH10&gt;18,BH10,18),0),0)+IF(Karakterlap!$F$10&gt;18,IF((Karakterlap!$F$10-IF(BI10&gt;18,BI10,18))&gt;0,Karakterlap!$F$10-IF(BI10&gt;18,BI10,18),0),0)+IF(Karakterlap!$F$11&gt;18,IF((Karakterlap!$F$11-IF(BJ10&gt;18,BJ10,18))&gt;0,Karakterlap!$F$11-IF(BJ10&gt;18,BJ10,18),0),0)+IF(Karakterlap!$F$12&gt;18,IF((Karakterlap!$F$12-IF(BK10&gt;18,BK10,18))&gt;0,Karakterlap!$F$12-IF(BK10&gt;18,BK10,18),0),0)</f>
        <v>#VALUE!</v>
      </c>
    </row>
    <row r="11" spans="1:65" x14ac:dyDescent="0.25">
      <c r="A11" s="5"/>
      <c r="B11" s="6"/>
      <c r="D11" s="5" t="s">
        <v>109</v>
      </c>
      <c r="E11" s="6">
        <v>5</v>
      </c>
      <c r="G11" s="5"/>
      <c r="H11" s="6"/>
      <c r="I11" s="5" t="s">
        <v>271</v>
      </c>
      <c r="J11" s="6">
        <v>18</v>
      </c>
      <c r="L11" t="s">
        <v>200</v>
      </c>
      <c r="M11">
        <v>0</v>
      </c>
      <c r="N11">
        <v>161</v>
      </c>
      <c r="O11">
        <v>321</v>
      </c>
      <c r="P11">
        <v>641</v>
      </c>
      <c r="Q11">
        <v>1441</v>
      </c>
      <c r="R11">
        <v>2801</v>
      </c>
      <c r="S11">
        <v>5601</v>
      </c>
      <c r="T11">
        <v>10001</v>
      </c>
      <c r="U11">
        <v>20001</v>
      </c>
      <c r="V11">
        <v>40001</v>
      </c>
      <c r="W11">
        <v>60001</v>
      </c>
      <c r="X11">
        <v>80001</v>
      </c>
      <c r="Y11">
        <f>IFERROR(IF(VLOOKUP(L11,Karakterlap!$P$3:$Z$4,10,FALSE)&gt;13,112001+((VLOOKUP(L11,Karakterlap!$P$3:$Z$4,10,FALSE)-13)*31200),112001),112001)</f>
        <v>112001</v>
      </c>
      <c r="Z11">
        <v>9</v>
      </c>
      <c r="AA11">
        <v>20</v>
      </c>
      <c r="AB11">
        <v>75</v>
      </c>
      <c r="AC11">
        <v>0</v>
      </c>
      <c r="AD11">
        <f>IFERROR(VLOOKUP(L11,Karakterlap!$P$3:$Z$4,10,FALSE)*11,11)</f>
        <v>11</v>
      </c>
      <c r="AE11">
        <f>IFERROR(IF(Karakterlap!$P$5="Váltott kaszt",IF(Karakterlap!$P$3=Adattábla!$L11,Karakterlap!$Y$3*3,IF(Karakterlap!$P$4=Adattábla!$L11,(Karakterlap!$Y$4-Adattábla!$I$20)*3,3)),VLOOKUP(Adattábla!$L11,Karakterlap!$P$3:$Z$4,10,FALSE)*3),3)</f>
        <v>3</v>
      </c>
      <c r="AF11">
        <f>IFERROR(IF(Karakterlap!$P$5="Váltott kaszt",IF(Karakterlap!$P$3=Adattábla!$L11,Karakterlap!$Y$3*3,IF(Karakterlap!$P$4=Adattábla!$L11,(Karakterlap!$Y$4-Adattábla!$I$20)*3,3)),VLOOKUP(Adattábla!$L11,Karakterlap!$P$3:$Z$4,10,FALSE)*3),3)</f>
        <v>3</v>
      </c>
      <c r="AG11">
        <v>10</v>
      </c>
      <c r="AH11">
        <f>IF(Karakterlap!$P$5="Iker kaszt",IF(Karakterlap!$P$3=L11,IFERROR((Karakterlap!$P$6*14)+(VLOOKUP(L11,Karakterlap!$P$3:$Z$4,10,FALSE)-Karakterlap!$P$6),14),IF(Karakterlap!$P$4=L11,VLOOKUP(L11,Karakterlap!$P$3:$Z$4,10,FALSE),14)),IF(Karakterlap!$P$5="Váltott kaszt",IF(L11=Karakterlap!$P$3,(Karakterlap!$Y$3+3)*14,VLOOKUP(L11,Karakterlap!$P$3:$Z$4,10,FALSE)*14),IFERROR(VLOOKUP(L11,Karakterlap!$P$3:$Z$4,10,FALSE)*14,14)))</f>
        <v>14</v>
      </c>
      <c r="AI11">
        <v>0</v>
      </c>
      <c r="AJ11">
        <v>7</v>
      </c>
      <c r="AK11">
        <v>6</v>
      </c>
      <c r="AL11">
        <f>IFERROR(VLOOKUP(L11,Karakterlap!$P$3:$Z$4,10,FALSE)*($E$18+4),$E$18+4)</f>
        <v>10</v>
      </c>
      <c r="AN11" t="s">
        <v>115</v>
      </c>
      <c r="AR11" s="17">
        <v>15</v>
      </c>
      <c r="AS11" s="17">
        <v>5</v>
      </c>
      <c r="BA11">
        <f>IFERROR(IF(Karakterlap!$P$6&gt;13,112001+((Karakterlap!$P$6-13)*31200),112001),112001)</f>
        <v>112001</v>
      </c>
      <c r="BB11" s="40">
        <f>VLOOKUP("k6+12",$I$2:$J$11,2,FALSE)+IFERROR(VLOOKUP(Karakterlap!$V$7,$A$24:$C$33,3,FALSE),0)</f>
        <v>16</v>
      </c>
      <c r="BC11" s="40">
        <f>VLOOKUP("k10+8",$I$2:$J$11,2,FALSE)+IFERROR(VLOOKUP(Karakterlap!$V$7,$A$24:$D$33,4,FALSE),0)</f>
        <v>14</v>
      </c>
      <c r="BD11" s="40">
        <f>VLOOKUP("2k6+6",$I$2:$J$11,2,FALSE)+IFERROR(VLOOKUP(Karakterlap!$V$7,$A$24:$E$33,5,FALSE),0)</f>
        <v>13</v>
      </c>
      <c r="BE11" s="40">
        <f>VLOOKUP("2k6+6",$I$2:$J$11,2,FALSE)+IFERROR(VLOOKUP(Karakterlap!$V$7,$A$24:$F$33,6,FALSE),0)</f>
        <v>13</v>
      </c>
      <c r="BF11" s="40">
        <f>VLOOKUP("k10+10",$I$2:$J$11,2,FALSE)+IFERROR(VLOOKUP(Karakterlap!$V$7,$A$24:$G$33,7,FALSE),0)</f>
        <v>16</v>
      </c>
      <c r="BG11" s="40">
        <f>VLOOKUP("3k6(2x)",$I$2:$J$11,2,FALSE)+IFERROR(VLOOKUP(Karakterlap!$V$7,$A$24:$H$33,8,FALSE),0)</f>
        <v>11</v>
      </c>
      <c r="BH11" s="40">
        <f>VLOOKUP("3k6(2x)",$I$2:$J$11,2,FALSE)+IFERROR(VLOOKUP(Karakterlap!$V$7,$A$24:$I$33,9,FALSE),0)</f>
        <v>11</v>
      </c>
      <c r="BI11" s="40">
        <f t="shared" si="0"/>
        <v>13</v>
      </c>
      <c r="BJ11" s="40">
        <f>VLOOKUP("3k6(2x)",$I$2:$J$11,2,FALSE)+IFERROR(VLOOKUP(Karakterlap!$V$7,$A$24:$J$33,10,FALSE),0)</f>
        <v>11</v>
      </c>
      <c r="BK11" s="40">
        <f t="shared" si="1"/>
        <v>13</v>
      </c>
      <c r="BL11" s="40">
        <f>IF((SUM(Karakterlap!$F$3:$F$12)-SUM(BB11:BK11))&lt;0,0,SUM(Karakterlap!$F$3:$F$12)-SUM(BB11:BK11))</f>
        <v>0</v>
      </c>
      <c r="BM11" t="e">
        <f>IF(Karakterlap!$F$3&gt;18,IF((Karakterlap!$F$3-IF(BB11&gt;18,BB11,18))&gt;0,Karakterlap!$F$3-IF(BB11&gt;18,BB11,18),0),0)+IF(Karakterlap!$F$4&gt;18,IF((Karakterlap!$F$4-IF(BC11&gt;18,BC11,18))&gt;0,Karakterlap!$F$4-IF(BC11&gt;18,BC11,18),0),0)+IF(Karakterlap!$F$5&gt;18,IF((Karakterlap!$F$5-IF(BD11&gt;18,BD11,18))&gt;0,Karakterlap!$F$5-IF(BD11&gt;18,BD11,18),0),0)+IF(Karakterlap!$F$6&gt;18,IF((Karakterlap!$F$6-IF(BE11&gt;18,BE11,18))&gt;0,Karakterlap!$F$6-IF(BE11&gt;18,BE11,18),0),0)+IF(Karakterlap!$F$7&gt;18,IF((Karakterlap!$F$7-IF(BF11&gt;18,BF11,18))&gt;0,Karakterlap!$F$7-IF(BF11&gt;18,BF11,18),0),0)+IF(Karakterlap!$F$8&gt;18,IF((Karakterlap!$F$8-IF(BG11&gt;18,BG11,18))&gt;0,Karakterlap!$F$8-IF(BG11&gt;18,BG11,18),0),0)+IF(Karakterlap!$F$9&gt;18,IF((Karakterlap!$F$9-IF(BH11&gt;18,BH11,18))&gt;0,Karakterlap!$F$9-IF(BH11&gt;18,BH11,18),0),0)+IF(Karakterlap!$F$10&gt;18,IF((Karakterlap!$F$10-IF(BI11&gt;18,BI11,18))&gt;0,Karakterlap!$F$10-IF(BI11&gt;18,BI11,18),0),0)+IF(Karakterlap!$F$11&gt;18,IF((Karakterlap!$F$11-IF(BJ11&gt;18,BJ11,18))&gt;0,Karakterlap!$F$11-IF(BJ11&gt;18,BJ11,18),0),0)+IF(Karakterlap!$F$12&gt;18,IF((Karakterlap!$F$12-IF(BK11&gt;18,BK11,18))&gt;0,Karakterlap!$F$12-IF(BK11&gt;18,BK11,18),0),0)</f>
        <v>#VALUE!</v>
      </c>
    </row>
    <row r="12" spans="1:65" x14ac:dyDescent="0.25">
      <c r="A12" s="5"/>
      <c r="B12" s="6"/>
      <c r="D12" s="5" t="s">
        <v>159</v>
      </c>
      <c r="E12" s="6">
        <v>6</v>
      </c>
      <c r="G12" s="5"/>
      <c r="H12" s="6"/>
      <c r="I12" s="5"/>
      <c r="J12" s="6"/>
      <c r="L12" t="s">
        <v>202</v>
      </c>
      <c r="M12">
        <v>0</v>
      </c>
      <c r="N12">
        <v>161</v>
      </c>
      <c r="O12">
        <v>321</v>
      </c>
      <c r="P12">
        <v>641</v>
      </c>
      <c r="Q12">
        <v>1441</v>
      </c>
      <c r="R12">
        <v>2801</v>
      </c>
      <c r="S12">
        <v>5601</v>
      </c>
      <c r="T12">
        <v>10001</v>
      </c>
      <c r="U12">
        <v>20001</v>
      </c>
      <c r="V12">
        <v>40001</v>
      </c>
      <c r="W12">
        <v>60001</v>
      </c>
      <c r="X12">
        <v>80001</v>
      </c>
      <c r="Y12">
        <f>IFERROR(IF(VLOOKUP(L12,Karakterlap!$P$3:$Z$4,10,FALSE)&gt;13,112001+((VLOOKUP(L12,Karakterlap!$P$3:$Z$4,10,FALSE)-13)*31200),112001),112001)</f>
        <v>112001</v>
      </c>
      <c r="Z12">
        <v>9</v>
      </c>
      <c r="AA12">
        <v>20</v>
      </c>
      <c r="AB12">
        <v>75</v>
      </c>
      <c r="AC12">
        <v>15</v>
      </c>
      <c r="AD12">
        <f>IFERROR(VLOOKUP(L12,Karakterlap!$P$3:$Z$4,10,FALSE)*11,11)</f>
        <v>11</v>
      </c>
      <c r="AE12">
        <f>IFERROR(IF(Karakterlap!$P$5="Váltott kaszt",IF(Karakterlap!$P$3=Adattábla!$L12,Karakterlap!$Y$3*3,IF(Karakterlap!$P$4=Adattábla!$L12,(Karakterlap!$Y$4-Adattábla!$I$20)*3,3)),VLOOKUP(Adattábla!$L12,Karakterlap!$P$3:$Z$4,10,FALSE)*3),3)</f>
        <v>3</v>
      </c>
      <c r="AF12">
        <f>IFERROR(IF(Karakterlap!$P$5="Váltott kaszt",IF(Karakterlap!$P$3=Adattábla!$L12,Karakterlap!$Y$3*3,IF(Karakterlap!$P$4=Adattábla!$L12,(Karakterlap!$Y$4-Adattábla!$I$20)*3,3)),VLOOKUP(Adattábla!$L12,Karakterlap!$P$3:$Z$4,10,FALSE)*3),3)</f>
        <v>3</v>
      </c>
      <c r="AG12">
        <v>10</v>
      </c>
      <c r="AH12">
        <f>IF(Karakterlap!$P$5="Iker kaszt",IF(Karakterlap!$P$3=L12,IFERROR((Karakterlap!$P$6*14)+(VLOOKUP(L12,Karakterlap!$P$3:$Z$4,10,FALSE)-Karakterlap!$P$6),14),IF(Karakterlap!$P$4=L12,VLOOKUP(L12,Karakterlap!$P$3:$Z$4,10,FALSE),14)),IF(Karakterlap!$P$5="Váltott kaszt",IF(L12=Karakterlap!$P$3,(Karakterlap!$Y$3+3)*14,VLOOKUP(L12,Karakterlap!$P$3:$Z$4,10,FALSE)*14),IFERROR(VLOOKUP(L12,Karakterlap!$P$3:$Z$4,10,FALSE)*14,14)))</f>
        <v>14</v>
      </c>
      <c r="AI12">
        <v>0</v>
      </c>
      <c r="AJ12">
        <v>7</v>
      </c>
      <c r="AK12">
        <v>6</v>
      </c>
      <c r="AL12">
        <f>IFERROR(VLOOKUP(L12,Karakterlap!$P$3:$Z$4,10,FALSE)*($E$18+4),$E$18+4)</f>
        <v>10</v>
      </c>
      <c r="AN12" t="s">
        <v>115</v>
      </c>
      <c r="BA12">
        <f>IFERROR(IF(Karakterlap!$P$6&gt;13,112001+((Karakterlap!$P$6-13)*31200),112001),112001)</f>
        <v>112001</v>
      </c>
      <c r="BB12" s="40">
        <f>VLOOKUP("k6+12",$I$2:$J$11,2,FALSE)+IFERROR(VLOOKUP(Karakterlap!$V$7,$A$24:$C$33,3,FALSE),0)</f>
        <v>16</v>
      </c>
      <c r="BC12" s="40">
        <f>VLOOKUP("k10+8",$I$2:$J$11,2,FALSE)+IFERROR(VLOOKUP(Karakterlap!$V$7,$A$24:$D$33,4,FALSE),0)</f>
        <v>14</v>
      </c>
      <c r="BD12" s="40">
        <f>VLOOKUP("2k6+6",$I$2:$J$11,2,FALSE)+IFERROR(VLOOKUP(Karakterlap!$V$7,$A$24:$E$33,5,FALSE),0)</f>
        <v>13</v>
      </c>
      <c r="BE12" s="40">
        <f>VLOOKUP("2k6+6",$I$2:$J$11,2,FALSE)+IFERROR(VLOOKUP(Karakterlap!$V$7,$A$24:$F$33,6,FALSE),0)</f>
        <v>13</v>
      </c>
      <c r="BF12" s="40">
        <f>VLOOKUP("k10+10",$I$2:$J$11,2,FALSE)+IFERROR(VLOOKUP(Karakterlap!$V$7,$A$24:$G$33,7,FALSE),0)</f>
        <v>16</v>
      </c>
      <c r="BG12" s="40">
        <f>VLOOKUP("3k6(2x)",$I$2:$J$11,2,FALSE)+IFERROR(VLOOKUP(Karakterlap!$V$7,$A$24:$H$33,8,FALSE),0)</f>
        <v>11</v>
      </c>
      <c r="BH12" s="40">
        <f>VLOOKUP("3k6(2x)",$I$2:$J$11,2,FALSE)+IFERROR(VLOOKUP(Karakterlap!$V$7,$A$24:$I$33,9,FALSE),0)</f>
        <v>11</v>
      </c>
      <c r="BI12" s="40">
        <f t="shared" si="0"/>
        <v>13</v>
      </c>
      <c r="BJ12" s="40">
        <f>VLOOKUP("3k6(2x)",$I$2:$J$11,2,FALSE)+IFERROR(VLOOKUP(Karakterlap!$V$7,$A$24:$J$33,10,FALSE),0)</f>
        <v>11</v>
      </c>
      <c r="BK12" s="40">
        <f t="shared" si="1"/>
        <v>13</v>
      </c>
      <c r="BL12" s="40">
        <f>IF((SUM(Karakterlap!$F$3:$F$12)-SUM(BB12:BK12))&lt;0,0,SUM(Karakterlap!$F$3:$F$12)-SUM(BB12:BK12))</f>
        <v>0</v>
      </c>
      <c r="BM12" t="e">
        <f>IF(Karakterlap!$F$3&gt;18,IF((Karakterlap!$F$3-IF(BB12&gt;18,BB12,18))&gt;0,Karakterlap!$F$3-IF(BB12&gt;18,BB12,18),0),0)+IF(Karakterlap!$F$4&gt;18,IF((Karakterlap!$F$4-IF(BC12&gt;18,BC12,18))&gt;0,Karakterlap!$F$4-IF(BC12&gt;18,BC12,18),0),0)+IF(Karakterlap!$F$5&gt;18,IF((Karakterlap!$F$5-IF(BD12&gt;18,BD12,18))&gt;0,Karakterlap!$F$5-IF(BD12&gt;18,BD12,18),0),0)+IF(Karakterlap!$F$6&gt;18,IF((Karakterlap!$F$6-IF(BE12&gt;18,BE12,18))&gt;0,Karakterlap!$F$6-IF(BE12&gt;18,BE12,18),0),0)+IF(Karakterlap!$F$7&gt;18,IF((Karakterlap!$F$7-IF(BF12&gt;18,BF12,18))&gt;0,Karakterlap!$F$7-IF(BF12&gt;18,BF12,18),0),0)+IF(Karakterlap!$F$8&gt;18,IF((Karakterlap!$F$8-IF(BG12&gt;18,BG12,18))&gt;0,Karakterlap!$F$8-IF(BG12&gt;18,BG12,18),0),0)+IF(Karakterlap!$F$9&gt;18,IF((Karakterlap!$F$9-IF(BH12&gt;18,BH12,18))&gt;0,Karakterlap!$F$9-IF(BH12&gt;18,BH12,18),0),0)+IF(Karakterlap!$F$10&gt;18,IF((Karakterlap!$F$10-IF(BI12&gt;18,BI12,18))&gt;0,Karakterlap!$F$10-IF(BI12&gt;18,BI12,18),0),0)+IF(Karakterlap!$F$11&gt;18,IF((Karakterlap!$F$11-IF(BJ12&gt;18,BJ12,18))&gt;0,Karakterlap!$F$11-IF(BJ12&gt;18,BJ12,18),0),0)+IF(Karakterlap!$F$12&gt;18,IF((Karakterlap!$F$12-IF(BK12&gt;18,BK12,18))&gt;0,Karakterlap!$F$12-IF(BK12&gt;18,BK12,18),0),0)</f>
        <v>#VALUE!</v>
      </c>
    </row>
    <row r="13" spans="1:65" x14ac:dyDescent="0.25">
      <c r="A13" s="7"/>
      <c r="B13" s="2"/>
      <c r="D13" s="7" t="s">
        <v>160</v>
      </c>
      <c r="E13" s="2">
        <v>7</v>
      </c>
      <c r="F13" s="6"/>
      <c r="G13" s="12"/>
      <c r="H13" s="6"/>
      <c r="I13" s="5"/>
      <c r="J13" s="6"/>
      <c r="L13" t="s">
        <v>203</v>
      </c>
      <c r="M13">
        <v>0</v>
      </c>
      <c r="N13">
        <v>161</v>
      </c>
      <c r="O13">
        <v>321</v>
      </c>
      <c r="P13">
        <v>641</v>
      </c>
      <c r="Q13">
        <v>1441</v>
      </c>
      <c r="R13">
        <v>2801</v>
      </c>
      <c r="S13">
        <v>5601</v>
      </c>
      <c r="T13">
        <v>10001</v>
      </c>
      <c r="U13">
        <v>20001</v>
      </c>
      <c r="V13">
        <v>40001</v>
      </c>
      <c r="W13">
        <v>60001</v>
      </c>
      <c r="X13">
        <v>80001</v>
      </c>
      <c r="Y13">
        <f>IFERROR(IF(VLOOKUP(L13,Karakterlap!$P$3:$Z$4,10,FALSE)&gt;13,112001+((VLOOKUP(L13,Karakterlap!$P$3:$Z$4,10,FALSE)-13)*31200),112001),112001)</f>
        <v>112001</v>
      </c>
      <c r="Z13">
        <v>9</v>
      </c>
      <c r="AA13">
        <v>20</v>
      </c>
      <c r="AB13">
        <v>75</v>
      </c>
      <c r="AC13">
        <v>0</v>
      </c>
      <c r="AD13">
        <f>IFERROR(VLOOKUP(L13,Karakterlap!$P$3:$Z$4,10,FALSE)*11,11)</f>
        <v>11</v>
      </c>
      <c r="AE13">
        <f>IFERROR(IF(Karakterlap!$P$5="Váltott kaszt",IF(Karakterlap!$P$3=Adattábla!$L13,Karakterlap!$Y$3*3,IF(Karakterlap!$P$4=Adattábla!$L13,(Karakterlap!$Y$4-Adattábla!$I$20)*3,3)),VLOOKUP(Adattábla!$L13,Karakterlap!$P$3:$Z$4,10,FALSE)*3),3)</f>
        <v>3</v>
      </c>
      <c r="AF13">
        <f>IFERROR(IF(Karakterlap!$P$5="Váltott kaszt",IF(Karakterlap!$P$3=Adattábla!$L13,Karakterlap!$Y$3*3,IF(Karakterlap!$P$4=Adattábla!$L13,(Karakterlap!$Y$4-Adattábla!$I$20)*3,3)),VLOOKUP(Adattábla!$L13,Karakterlap!$P$3:$Z$4,10,FALSE)*3),3)</f>
        <v>3</v>
      </c>
      <c r="AG13">
        <v>10</v>
      </c>
      <c r="AH13">
        <f>IF(Karakterlap!$P$5="Iker kaszt",IF(Karakterlap!$P$3=L13,IFERROR((Karakterlap!$P$6*14)+(VLOOKUP(L13,Karakterlap!$P$3:$Z$4,10,FALSE)-Karakterlap!$P$6),14),IF(Karakterlap!$P$4=L13,VLOOKUP(L13,Karakterlap!$P$3:$Z$4,10,FALSE),14)),IF(Karakterlap!$P$5="Váltott kaszt",IF(L13=Karakterlap!$P$3,(Karakterlap!$Y$3+3)*14,VLOOKUP(L13,Karakterlap!$P$3:$Z$4,10,FALSE)*14),IFERROR(VLOOKUP(L13,Karakterlap!$P$3:$Z$4,10,FALSE)*14,14)))</f>
        <v>14</v>
      </c>
      <c r="AI13">
        <v>0</v>
      </c>
      <c r="AJ13">
        <v>7</v>
      </c>
      <c r="AK13">
        <v>6</v>
      </c>
      <c r="AL13">
        <f>IFERROR(VLOOKUP(L13,Karakterlap!$P$3:$Z$4,10,FALSE)*($E$18+4),$E$18+4)</f>
        <v>10</v>
      </c>
      <c r="AN13" t="s">
        <v>115</v>
      </c>
      <c r="AQ13" s="17">
        <f>IFERROR(IF(VLOOKUP(L13,Karakterlap!$P$3:$Z$4,10,FALSE)&gt;2,15,0),0)</f>
        <v>0</v>
      </c>
      <c r="AR13" s="17">
        <v>20</v>
      </c>
      <c r="AS13" s="17">
        <v>10</v>
      </c>
      <c r="BA13">
        <f>IFERROR(IF(Karakterlap!$P$6&gt;13,112001+((Karakterlap!$P$6-13)*31200),112001),112001)</f>
        <v>112001</v>
      </c>
      <c r="BB13" s="40">
        <f>VLOOKUP("k6+12",$I$2:$J$11,2,FALSE)+IFERROR(VLOOKUP(Karakterlap!$V$7,$A$24:$C$33,3,FALSE),0)</f>
        <v>16</v>
      </c>
      <c r="BC13" s="40">
        <f>VLOOKUP("k10+8",$I$2:$J$11,2,FALSE)+IFERROR(VLOOKUP(Karakterlap!$V$7,$A$24:$D$33,4,FALSE),0)</f>
        <v>14</v>
      </c>
      <c r="BD13" s="40">
        <f>VLOOKUP("2k6+6",$I$2:$J$11,2,FALSE)+IFERROR(VLOOKUP(Karakterlap!$V$7,$A$24:$E$33,5,FALSE),0)</f>
        <v>13</v>
      </c>
      <c r="BE13" s="40">
        <f>VLOOKUP("2k6+6",$I$2:$J$11,2,FALSE)+IFERROR(VLOOKUP(Karakterlap!$V$7,$A$24:$F$33,6,FALSE),0)</f>
        <v>13</v>
      </c>
      <c r="BF13" s="40">
        <f>VLOOKUP("k10+10",$I$2:$J$11,2,FALSE)+IFERROR(VLOOKUP(Karakterlap!$V$7,$A$24:$G$33,7,FALSE),0)</f>
        <v>16</v>
      </c>
      <c r="BG13" s="40">
        <f>VLOOKUP("3k6(2x)",$I$2:$J$11,2,FALSE)+IFERROR(VLOOKUP(Karakterlap!$V$7,$A$24:$H$33,8,FALSE),0)</f>
        <v>11</v>
      </c>
      <c r="BH13" s="40">
        <f>VLOOKUP("3k6(2x)",$I$2:$J$11,2,FALSE)+IFERROR(VLOOKUP(Karakterlap!$V$7,$A$24:$I$33,9,FALSE),0)</f>
        <v>11</v>
      </c>
      <c r="BI13" s="40">
        <f t="shared" si="0"/>
        <v>13</v>
      </c>
      <c r="BJ13" s="40">
        <f>VLOOKUP("3k6(2x)",$I$2:$J$11,2,FALSE)+IFERROR(VLOOKUP(Karakterlap!$V$7,$A$24:$J$33,10,FALSE),0)</f>
        <v>11</v>
      </c>
      <c r="BK13" s="40">
        <f t="shared" si="1"/>
        <v>13</v>
      </c>
      <c r="BL13" s="40">
        <f>IF((SUM(Karakterlap!$F$3:$F$12)-SUM(BB13:BK13))&lt;0,0,SUM(Karakterlap!$F$3:$F$12)-SUM(BB13:BK13))</f>
        <v>0</v>
      </c>
      <c r="BM13" t="e">
        <f>IF(Karakterlap!$F$3&gt;18,IF((Karakterlap!$F$3-IF(BB13&gt;18,BB13,18))&gt;0,Karakterlap!$F$3-IF(BB13&gt;18,BB13,18),0),0)+IF(Karakterlap!$F$4&gt;18,IF((Karakterlap!$F$4-IF(BC13&gt;18,BC13,18))&gt;0,Karakterlap!$F$4-IF(BC13&gt;18,BC13,18),0),0)+IF(Karakterlap!$F$5&gt;18,IF((Karakterlap!$F$5-IF(BD13&gt;18,BD13,18))&gt;0,Karakterlap!$F$5-IF(BD13&gt;18,BD13,18),0),0)+IF(Karakterlap!$F$6&gt;18,IF((Karakterlap!$F$6-IF(BE13&gt;18,BE13,18))&gt;0,Karakterlap!$F$6-IF(BE13&gt;18,BE13,18),0),0)+IF(Karakterlap!$F$7&gt;18,IF((Karakterlap!$F$7-IF(BF13&gt;18,BF13,18))&gt;0,Karakterlap!$F$7-IF(BF13&gt;18,BF13,18),0),0)+IF(Karakterlap!$F$8&gt;18,IF((Karakterlap!$F$8-IF(BG13&gt;18,BG13,18))&gt;0,Karakterlap!$F$8-IF(BG13&gt;18,BG13,18),0),0)+IF(Karakterlap!$F$9&gt;18,IF((Karakterlap!$F$9-IF(BH13&gt;18,BH13,18))&gt;0,Karakterlap!$F$9-IF(BH13&gt;18,BH13,18),0),0)+IF(Karakterlap!$F$10&gt;18,IF((Karakterlap!$F$10-IF(BI13&gt;18,BI13,18))&gt;0,Karakterlap!$F$10-IF(BI13&gt;18,BI13,18),0),0)+IF(Karakterlap!$F$11&gt;18,IF((Karakterlap!$F$11-IF(BJ13&gt;18,BJ13,18))&gt;0,Karakterlap!$F$11-IF(BJ13&gt;18,BJ13,18),0),0)+IF(Karakterlap!$F$12&gt;18,IF((Karakterlap!$F$12-IF(BK13&gt;18,BK13,18))&gt;0,Karakterlap!$F$12-IF(BK13&gt;18,BK13,18),0),0)</f>
        <v>#VALUE!</v>
      </c>
    </row>
    <row r="14" spans="1:65" x14ac:dyDescent="0.25">
      <c r="F14" s="6"/>
      <c r="G14" s="1"/>
      <c r="H14" s="6"/>
      <c r="I14" s="5"/>
      <c r="J14" s="6"/>
      <c r="L14" t="s">
        <v>204</v>
      </c>
      <c r="M14">
        <v>0</v>
      </c>
      <c r="N14">
        <v>161</v>
      </c>
      <c r="O14">
        <v>321</v>
      </c>
      <c r="P14">
        <v>641</v>
      </c>
      <c r="Q14">
        <v>1441</v>
      </c>
      <c r="R14">
        <v>2801</v>
      </c>
      <c r="S14">
        <v>5601</v>
      </c>
      <c r="T14">
        <v>10001</v>
      </c>
      <c r="U14">
        <v>20001</v>
      </c>
      <c r="V14">
        <v>40001</v>
      </c>
      <c r="W14">
        <v>60001</v>
      </c>
      <c r="X14">
        <v>80001</v>
      </c>
      <c r="Y14">
        <f>IFERROR(IF(VLOOKUP(L14,Karakterlap!$P$3:$Z$4,10,FALSE)&gt;13,112001+((VLOOKUP(L14,Karakterlap!$P$3:$Z$4,10,FALSE)-13)*31200),112001),112001)</f>
        <v>112001</v>
      </c>
      <c r="Z14">
        <v>9</v>
      </c>
      <c r="AA14">
        <v>20</v>
      </c>
      <c r="AB14">
        <v>75</v>
      </c>
      <c r="AC14">
        <v>0</v>
      </c>
      <c r="AD14">
        <f>IFERROR(VLOOKUP(L14,Karakterlap!$P$3:$Z$4,10,FALSE)*11,11)</f>
        <v>11</v>
      </c>
      <c r="AE14">
        <f>IFERROR(IF(Karakterlap!$P$5="Váltott kaszt",IF(Karakterlap!$P$3=Adattábla!$L14,Karakterlap!$Y$3*3,IF(Karakterlap!$P$4=Adattábla!$L14,(Karakterlap!$Y$4-Adattábla!$I$20)*3,3)),VLOOKUP(Adattábla!$L14,Karakterlap!$P$3:$Z$4,10,FALSE)*3),3)</f>
        <v>3</v>
      </c>
      <c r="AF14">
        <f>IFERROR(IF(Karakterlap!$P$5="Váltott kaszt",IF(Karakterlap!$P$3=Adattábla!$L14,Karakterlap!$Y$3*3,IF(Karakterlap!$P$4=Adattábla!$L14,(Karakterlap!$Y$4-Adattábla!$I$20)*3,3)),VLOOKUP(Adattábla!$L14,Karakterlap!$P$3:$Z$4,10,FALSE)*3),3)</f>
        <v>3</v>
      </c>
      <c r="AG14">
        <v>5</v>
      </c>
      <c r="AH14">
        <f>IF(Karakterlap!$P$5="Iker kaszt",IF(Karakterlap!$P$3=L14,IFERROR((Karakterlap!$P$6*8)+(VLOOKUP(L14,Karakterlap!$P$3:$Z$4,10,FALSE)-Karakterlap!$P$6),8),IF(Karakterlap!$P$4=L14,VLOOKUP(L14,Karakterlap!$P$3:$Z$4,10,FALSE),8)),IF(Karakterlap!$P$5="Váltott kaszt",IF(L14=Karakterlap!$P$3,(Karakterlap!$Y$3+3)*8,VLOOKUP(L14,Karakterlap!$P$3:$Z$4,10,FALSE)*8),IFERROR(VLOOKUP(L14,Karakterlap!$P$3:$Z$4,10,FALSE)*8,8)))</f>
        <v>8</v>
      </c>
      <c r="AI14">
        <v>0</v>
      </c>
      <c r="AJ14">
        <v>7</v>
      </c>
      <c r="AK14">
        <v>6</v>
      </c>
      <c r="AL14">
        <f>IFERROR(VLOOKUP(L14,Karakterlap!$P$3:$Z$4,10,FALSE)*($E$18+4),$E$18+4)</f>
        <v>10</v>
      </c>
      <c r="AN14" t="s">
        <v>108</v>
      </c>
      <c r="AO14" t="str">
        <f>IFERROR((IF(Karakterlap!$F$9&gt;10,Karakterlap!$F$9-10,0))+4+((VLOOKUP(L14,Karakterlap!$P$3:$Z$4,10,FALSE)-1)*3),"más kaszt")</f>
        <v>más kaszt</v>
      </c>
      <c r="AS14" s="17">
        <f>IFERROR(IF(VLOOKUP(L14,Karakterlap!$P$3:$Z$4,10,FALSE)&gt;2,20,0),0)</f>
        <v>0</v>
      </c>
      <c r="BA14">
        <f>IFERROR(IF(Karakterlap!$P$6&gt;13,112001+((Karakterlap!$P$6-13)*31200),112001),112001)</f>
        <v>112001</v>
      </c>
      <c r="BB14" s="40">
        <f>VLOOKUP("k6+12",$I$2:$J$11,2,FALSE)+IFERROR(VLOOKUP(Karakterlap!$V$7,$A$24:$C$33,3,FALSE),0)</f>
        <v>16</v>
      </c>
      <c r="BC14" s="40">
        <f>VLOOKUP("k10+8",$I$2:$J$11,2,FALSE)+IFERROR(VLOOKUP(Karakterlap!$V$7,$A$24:$D$33,4,FALSE),0)</f>
        <v>14</v>
      </c>
      <c r="BD14" s="40">
        <f>VLOOKUP("2k6+6",$I$2:$J$11,2,FALSE)+IFERROR(VLOOKUP(Karakterlap!$V$7,$A$24:$E$33,5,FALSE),0)</f>
        <v>13</v>
      </c>
      <c r="BE14" s="40">
        <f>VLOOKUP("2k6+6",$I$2:$J$11,2,FALSE)+IFERROR(VLOOKUP(Karakterlap!$V$7,$A$24:$F$33,6,FALSE),0)</f>
        <v>13</v>
      </c>
      <c r="BF14" s="40">
        <f>VLOOKUP("k10+10",$I$2:$J$11,2,FALSE)+IFERROR(VLOOKUP(Karakterlap!$V$7,$A$24:$G$33,7,FALSE),0)</f>
        <v>16</v>
      </c>
      <c r="BG14" s="40">
        <f>VLOOKUP("3k6(2x)",$I$2:$J$11,2,FALSE)+IFERROR(VLOOKUP(Karakterlap!$V$7,$A$24:$H$33,8,FALSE),0)</f>
        <v>11</v>
      </c>
      <c r="BH14" s="40">
        <f>VLOOKUP("3k6(2x)",$I$2:$J$11,2,FALSE)+IFERROR(VLOOKUP(Karakterlap!$V$7,$A$24:$I$33,9,FALSE),0)</f>
        <v>11</v>
      </c>
      <c r="BI14" s="40">
        <f t="shared" si="0"/>
        <v>13</v>
      </c>
      <c r="BJ14" s="40">
        <f>VLOOKUP("3k6(2x)",$I$2:$J$11,2,FALSE)+IFERROR(VLOOKUP(Karakterlap!$V$7,$A$24:$J$33,10,FALSE),0)</f>
        <v>11</v>
      </c>
      <c r="BK14" s="40">
        <f t="shared" si="1"/>
        <v>13</v>
      </c>
      <c r="BL14" s="40">
        <f>IF((SUM(Karakterlap!$F$3:$F$12)-SUM(BB14:BK14))&lt;0,0,SUM(Karakterlap!$F$3:$F$12)-SUM(BB14:BK14))</f>
        <v>0</v>
      </c>
      <c r="BM14" t="e">
        <f>IF(Karakterlap!$F$3&gt;18,IF((Karakterlap!$F$3-IF(BB14&gt;18,BB14,18))&gt;0,Karakterlap!$F$3-IF(BB14&gt;18,BB14,18),0),0)+IF(Karakterlap!$F$4&gt;18,IF((Karakterlap!$F$4-IF(BC14&gt;18,BC14,18))&gt;0,Karakterlap!$F$4-IF(BC14&gt;18,BC14,18),0),0)+IF(Karakterlap!$F$5&gt;18,IF((Karakterlap!$F$5-IF(BD14&gt;18,BD14,18))&gt;0,Karakterlap!$F$5-IF(BD14&gt;18,BD14,18),0),0)+IF(Karakterlap!$F$6&gt;18,IF((Karakterlap!$F$6-IF(BE14&gt;18,BE14,18))&gt;0,Karakterlap!$F$6-IF(BE14&gt;18,BE14,18),0),0)+IF(Karakterlap!$F$7&gt;18,IF((Karakterlap!$F$7-IF(BF14&gt;18,BF14,18))&gt;0,Karakterlap!$F$7-IF(BF14&gt;18,BF14,18),0),0)+IF(Karakterlap!$F$8&gt;18,IF((Karakterlap!$F$8-IF(BG14&gt;18,BG14,18))&gt;0,Karakterlap!$F$8-IF(BG14&gt;18,BG14,18),0),0)+IF(Karakterlap!$F$9&gt;18,IF((Karakterlap!$F$9-IF(BH14&gt;18,BH14,18))&gt;0,Karakterlap!$F$9-IF(BH14&gt;18,BH14,18),0),0)+IF(Karakterlap!$F$10&gt;18,IF((Karakterlap!$F$10-IF(BI14&gt;18,BI14,18))&gt;0,Karakterlap!$F$10-IF(BI14&gt;18,BI14,18),0),0)+IF(Karakterlap!$F$11&gt;18,IF((Karakterlap!$F$11-IF(BJ14&gt;18,BJ14,18))&gt;0,Karakterlap!$F$11-IF(BJ14&gt;18,BJ14,18),0),0)+IF(Karakterlap!$F$12&gt;18,IF((Karakterlap!$F$12-IF(BK14&gt;18,BK14,18))&gt;0,Karakterlap!$F$12-IF(BK14&gt;18,BK14,18),0),0)</f>
        <v>#VALUE!</v>
      </c>
    </row>
    <row r="15" spans="1:65" x14ac:dyDescent="0.25">
      <c r="A15" s="261" t="s">
        <v>32</v>
      </c>
      <c r="B15" s="262"/>
      <c r="C15" s="8">
        <v>0</v>
      </c>
      <c r="G15" s="7"/>
      <c r="H15" s="2"/>
      <c r="I15" s="7"/>
      <c r="J15" s="2"/>
      <c r="L15" s="10" t="s">
        <v>205</v>
      </c>
      <c r="M15" s="10">
        <v>0</v>
      </c>
      <c r="N15" s="10">
        <v>189</v>
      </c>
      <c r="O15" s="10">
        <v>377</v>
      </c>
      <c r="P15" s="10">
        <v>826</v>
      </c>
      <c r="Q15" s="10">
        <v>1651</v>
      </c>
      <c r="R15" s="10">
        <v>3301</v>
      </c>
      <c r="S15" s="10">
        <v>7251</v>
      </c>
      <c r="T15" s="10">
        <v>12051</v>
      </c>
      <c r="U15" s="10">
        <v>24001</v>
      </c>
      <c r="V15" s="10">
        <v>48001</v>
      </c>
      <c r="W15" s="10">
        <v>68001</v>
      </c>
      <c r="X15" s="10">
        <v>93001</v>
      </c>
      <c r="Y15" s="10">
        <f>IFERROR(IF(VLOOKUP(L15,Karakterlap!$P$3:$Z$4,10,FALSE)&gt;13,130001+((VLOOKUP(L15,Karakterlap!$P$3:$Z$4,10,FALSE)-13)*40000),130001),130001)</f>
        <v>130001</v>
      </c>
      <c r="Z15" s="10">
        <v>9</v>
      </c>
      <c r="AA15" s="10">
        <v>20</v>
      </c>
      <c r="AB15" s="10">
        <v>75</v>
      </c>
      <c r="AC15" s="10">
        <v>0</v>
      </c>
      <c r="AD15" s="10">
        <f>IFERROR(VLOOKUP(L15,Karakterlap!$P$3:$Z$4,10,FALSE)*12,12)</f>
        <v>12</v>
      </c>
      <c r="AE15" s="10">
        <f>IFERROR(IF(Karakterlap!$P$5="Váltott kaszt",IF(Karakterlap!$P$3=Adattábla!$L15,Karakterlap!$Y$3*4,IF(Karakterlap!$P$4=Adattábla!$L15,(Karakterlap!$Y$4-Adattábla!$I$20)*4,4)),VLOOKUP(Adattábla!$L15,Karakterlap!$P$3:$Z$4,10,FALSE)*4),4)</f>
        <v>4</v>
      </c>
      <c r="AF15" s="10">
        <f>IFERROR(IF(Karakterlap!$P$5="Váltott kaszt",IF(Karakterlap!$P$3=Adattábla!$L15,Karakterlap!$Y$3*4,IF(Karakterlap!$P$4=Adattábla!$L15,(Karakterlap!$Y$4-Adattábla!$I$20)*4,4)),VLOOKUP(Adattábla!$L15,Karakterlap!$P$3:$Z$4,10,FALSE)*4),4)</f>
        <v>4</v>
      </c>
      <c r="AG15" s="10">
        <v>5</v>
      </c>
      <c r="AH15" s="10">
        <f>IF(Karakterlap!$P$5="Iker kaszt",IF(Karakterlap!$P$3=L15,IFERROR((Karakterlap!$P$6*6)+(VLOOKUP(L15,Karakterlap!$P$3:$Z$4,10,FALSE)-Karakterlap!$P$6),6),IF(Karakterlap!$P$4=L15,VLOOKUP(L15,Karakterlap!$P$3:$Z$4,10,FALSE),6)),IF(Karakterlap!$P$5="Váltott kaszt",IF(L15=Karakterlap!$P$3,(Karakterlap!$Y$3+3)*6,VLOOKUP(L15,Karakterlap!$P$3:$Z$4,10,FALSE)*6),IFERROR(VLOOKUP(L15,Karakterlap!$P$3:$Z$4,10,FALSE)*6,6)))</f>
        <v>6</v>
      </c>
      <c r="AI15" s="10">
        <v>0</v>
      </c>
      <c r="AJ15" s="10">
        <v>8</v>
      </c>
      <c r="AK15" s="10">
        <v>7</v>
      </c>
      <c r="AL15" s="10">
        <f>IFERROR(VLOOKUP(L15,Karakterlap!$P$3:$Z$4,10,FALSE)*($E$18+5),$E$18+5)</f>
        <v>11</v>
      </c>
      <c r="AM15" s="10"/>
      <c r="AN15" s="10" t="s">
        <v>115</v>
      </c>
      <c r="AR15" s="17">
        <v>30</v>
      </c>
      <c r="AS15" s="17">
        <v>30</v>
      </c>
      <c r="BA15">
        <f>IFERROR(IF(Karakterlap!$P$6&gt;13,130001+((Karakterlap!$P$6-13)*40000),130001),130001)</f>
        <v>130001</v>
      </c>
      <c r="BB15" s="40">
        <f>VLOOKUP("k6+12",$I$2:$J$11,2,FALSE)+IFERROR(VLOOKUP(Karakterlap!$V$7,$A$24:$C$33,3,FALSE),0)</f>
        <v>16</v>
      </c>
      <c r="BC15" s="40">
        <f>VLOOKUP("k10+8",$I$2:$J$11,2,FALSE)+IFERROR(VLOOKUP(Karakterlap!$V$7,$A$24:$D$33,4,FALSE),0)</f>
        <v>14</v>
      </c>
      <c r="BD15" s="40">
        <f>VLOOKUP("2k6+6",$I$2:$J$11,2,FALSE)+IFERROR(VLOOKUP(Karakterlap!$V$7,$A$24:$E$33,5,FALSE),0)</f>
        <v>13</v>
      </c>
      <c r="BE15" s="40">
        <f>VLOOKUP("2k6+6",$I$2:$J$11,2,FALSE)+IFERROR(VLOOKUP(Karakterlap!$V$7,$A$24:$F$33,6,FALSE),0)</f>
        <v>13</v>
      </c>
      <c r="BF15" s="40">
        <f>VLOOKUP("k10+10",$I$2:$J$11,2,FALSE)+IFERROR(VLOOKUP(Karakterlap!$V$7,$A$24:$G$33,7,FALSE),0)</f>
        <v>16</v>
      </c>
      <c r="BG15" s="40">
        <f>VLOOKUP("3k6(2x)",$I$2:$J$11,2,FALSE)+IFERROR(VLOOKUP(Karakterlap!$V$7,$A$24:$H$33,8,FALSE),0)</f>
        <v>11</v>
      </c>
      <c r="BH15" s="40">
        <f>VLOOKUP("3k6(2x)",$I$2:$J$11,2,FALSE)+IFERROR(VLOOKUP(Karakterlap!$V$7,$A$24:$I$33,9,FALSE),0)</f>
        <v>11</v>
      </c>
      <c r="BI15" s="40">
        <f t="shared" si="0"/>
        <v>13</v>
      </c>
      <c r="BJ15" s="40">
        <f>VLOOKUP("3k6(2x)",$I$2:$J$11,2,FALSE)+IFERROR(VLOOKUP(Karakterlap!$V$7,$A$24:$J$33,10,FALSE),0)</f>
        <v>11</v>
      </c>
      <c r="BK15" s="40">
        <f t="shared" si="1"/>
        <v>13</v>
      </c>
      <c r="BL15" s="40">
        <f>IF((SUM(Karakterlap!$F$3:$F$12)-SUM(BB15:BK15))&lt;0,0,SUM(Karakterlap!$F$3:$F$12)-SUM(BB15:BK15))</f>
        <v>0</v>
      </c>
      <c r="BM15" t="e">
        <f>IF(Karakterlap!$F$3&gt;18,IF((Karakterlap!$F$3-IF(BB15&gt;18,BB15,18))&gt;0,Karakterlap!$F$3-IF(BB15&gt;18,BB15,18),0),0)+IF(Karakterlap!$F$4&gt;18,IF((Karakterlap!$F$4-IF(BC15&gt;18,BC15,18))&gt;0,Karakterlap!$F$4-IF(BC15&gt;18,BC15,18),0),0)+IF(Karakterlap!$F$5&gt;18,IF((Karakterlap!$F$5-IF(BD15&gt;18,BD15,18))&gt;0,Karakterlap!$F$5-IF(BD15&gt;18,BD15,18),0),0)+IF(Karakterlap!$F$6&gt;18,IF((Karakterlap!$F$6-IF(BE15&gt;18,BE15,18))&gt;0,Karakterlap!$F$6-IF(BE15&gt;18,BE15,18),0),0)+IF(Karakterlap!$F$7&gt;18,IF((Karakterlap!$F$7-IF(BF15&gt;18,BF15,18))&gt;0,Karakterlap!$F$7-IF(BF15&gt;18,BF15,18),0),0)+IF(Karakterlap!$F$8&gt;18,IF((Karakterlap!$F$8-IF(BG15&gt;18,BG15,18))&gt;0,Karakterlap!$F$8-IF(BG15&gt;18,BG15,18),0),0)+IF(Karakterlap!$F$9&gt;18,IF((Karakterlap!$F$9-IF(BH15&gt;18,BH15,18))&gt;0,Karakterlap!$F$9-IF(BH15&gt;18,BH15,18),0),0)+IF(Karakterlap!$F$10&gt;18,IF((Karakterlap!$F$10-IF(BI15&gt;18,BI15,18))&gt;0,Karakterlap!$F$10-IF(BI15&gt;18,BI15,18),0),0)+IF(Karakterlap!$F$11&gt;18,IF((Karakterlap!$F$11-IF(BJ15&gt;18,BJ15,18))&gt;0,Karakterlap!$F$11-IF(BJ15&gt;18,BJ15,18),0),0)+IF(Karakterlap!$F$12&gt;18,IF((Karakterlap!$F$12-IF(BK15&gt;18,BK15,18))&gt;0,Karakterlap!$F$12-IF(BK15&gt;18,BK15,18),0),0)</f>
        <v>#VALUE!</v>
      </c>
    </row>
    <row r="16" spans="1:65" x14ac:dyDescent="0.25">
      <c r="A16" s="261" t="s">
        <v>33</v>
      </c>
      <c r="B16" s="262"/>
      <c r="C16" s="8">
        <v>0</v>
      </c>
      <c r="I16" s="244"/>
      <c r="J16" s="244"/>
      <c r="L16" t="s">
        <v>206</v>
      </c>
      <c r="M16">
        <v>0</v>
      </c>
      <c r="N16">
        <v>161</v>
      </c>
      <c r="O16">
        <v>321</v>
      </c>
      <c r="P16">
        <v>641</v>
      </c>
      <c r="Q16">
        <v>1441</v>
      </c>
      <c r="R16">
        <v>2801</v>
      </c>
      <c r="S16">
        <v>5601</v>
      </c>
      <c r="T16">
        <v>10001</v>
      </c>
      <c r="U16">
        <v>20001</v>
      </c>
      <c r="V16">
        <v>40001</v>
      </c>
      <c r="W16">
        <v>60001</v>
      </c>
      <c r="X16">
        <v>80001</v>
      </c>
      <c r="Y16">
        <f>IFERROR(IF(VLOOKUP(L16,Karakterlap!$P$3:$Z$4,10,FALSE)&gt;13,112001+((VLOOKUP(L16,Karakterlap!$P$3:$Z$4,10,FALSE)-13)*31200),112001),112001)</f>
        <v>112001</v>
      </c>
      <c r="Z16">
        <v>9</v>
      </c>
      <c r="AA16">
        <v>20</v>
      </c>
      <c r="AB16">
        <v>75</v>
      </c>
      <c r="AC16">
        <v>25</v>
      </c>
      <c r="AD16">
        <f>IFERROR(VLOOKUP(L16,Karakterlap!$P$3:$Z$4,10,FALSE)*11,11)</f>
        <v>11</v>
      </c>
      <c r="AE16">
        <f>IFERROR(IF(Karakterlap!$P$5="Váltott kaszt",IF(Karakterlap!$P$3=Adattábla!$L16,Karakterlap!$Y$3*3,IF(Karakterlap!$P$4=Adattábla!$L16,(Karakterlap!$Y$4-Adattábla!$I$20)*3,3)),VLOOKUP(Adattábla!$L16,Karakterlap!$P$3:$Z$4,10,FALSE)*3),3)</f>
        <v>3</v>
      </c>
      <c r="AF16">
        <f>IFERROR(IF(Karakterlap!$P$5="Váltott kaszt",IF(Karakterlap!$P$3=Adattábla!$L16,Karakterlap!$Y$3*3,IF(Karakterlap!$P$4=Adattábla!$L16,(Karakterlap!$Y$4-Adattábla!$I$20)*3,3)),VLOOKUP(Adattábla!$L16,Karakterlap!$P$3:$Z$4,10,FALSE)*3),3)</f>
        <v>3</v>
      </c>
      <c r="AG16">
        <v>5</v>
      </c>
      <c r="AH16">
        <f>IF(Karakterlap!$P$5="Iker kaszt",IF(Karakterlap!$P$3=L16,IFERROR((Karakterlap!$P$6*7)+(VLOOKUP(L16,Karakterlap!$P$3:$Z$4,10,FALSE)-Karakterlap!$P$6),7),IF(Karakterlap!$P$4=L16,VLOOKUP(L16,Karakterlap!$P$3:$Z$4,10,FALSE),7)),IF(Karakterlap!$P$5="Váltott kaszt",IF(L16=Karakterlap!$P$3,(Karakterlap!$Y$3+3)*7,VLOOKUP(L16,Karakterlap!$P$3:$Z$4,10,FALSE)*7),IFERROR(VLOOKUP(L16,Karakterlap!$P$3:$Z$4,10,FALSE)*7,7)))</f>
        <v>7</v>
      </c>
      <c r="AI16">
        <v>0</v>
      </c>
      <c r="AJ16">
        <v>7</v>
      </c>
      <c r="AK16">
        <v>6</v>
      </c>
      <c r="AL16">
        <f>IFERROR(VLOOKUP(L16,Karakterlap!$P$3:$Z$4,10,FALSE)*($E$18+4),$E$18+4)</f>
        <v>10</v>
      </c>
      <c r="AN16" t="s">
        <v>115</v>
      </c>
      <c r="AQ16" s="17">
        <v>15</v>
      </c>
      <c r="AR16" s="17">
        <v>20</v>
      </c>
      <c r="AS16" s="17">
        <v>10</v>
      </c>
      <c r="BA16">
        <f>IFERROR(IF(Karakterlap!$P$6&gt;13,112001+((Karakterlap!$P$6-13)*31200),112001),112001)</f>
        <v>112001</v>
      </c>
      <c r="BB16" s="40">
        <f>VLOOKUP("k6+12",$I$2:$J$11,2,FALSE)+IFERROR(VLOOKUP(Karakterlap!$V$7,$A$24:$C$33,3,FALSE),0)</f>
        <v>16</v>
      </c>
      <c r="BC16" s="40">
        <f>VLOOKUP("k10+8",$I$2:$J$11,2,FALSE)+IFERROR(VLOOKUP(Karakterlap!$V$7,$A$24:$D$33,4,FALSE),0)</f>
        <v>14</v>
      </c>
      <c r="BD16" s="40">
        <f>VLOOKUP("2k6+6",$I$2:$J$11,2,FALSE)+IFERROR(VLOOKUP(Karakterlap!$V$7,$A$24:$E$33,5,FALSE),0)</f>
        <v>13</v>
      </c>
      <c r="BE16" s="40">
        <f>VLOOKUP("2k6+6",$I$2:$J$11,2,FALSE)+IFERROR(VLOOKUP(Karakterlap!$V$7,$A$24:$F$33,6,FALSE),0)</f>
        <v>13</v>
      </c>
      <c r="BF16" s="40">
        <f>VLOOKUP("k10+10",$I$2:$J$11,2,FALSE)+IFERROR(VLOOKUP(Karakterlap!$V$7,$A$24:$G$33,7,FALSE),0)</f>
        <v>16</v>
      </c>
      <c r="BG16" s="40">
        <f>VLOOKUP("3k6(2x)",$I$2:$J$11,2,FALSE)+IFERROR(VLOOKUP(Karakterlap!$V$7,$A$24:$H$33,8,FALSE),0)</f>
        <v>11</v>
      </c>
      <c r="BH16" s="40">
        <f>VLOOKUP("3k6(2x)",$I$2:$J$11,2,FALSE)+IFERROR(VLOOKUP(Karakterlap!$V$7,$A$24:$I$33,9,FALSE),0)</f>
        <v>11</v>
      </c>
      <c r="BI16" s="40">
        <f t="shared" si="0"/>
        <v>13</v>
      </c>
      <c r="BJ16" s="40">
        <f>VLOOKUP("3k6(2x)",$I$2:$J$11,2,FALSE)+IFERROR(VLOOKUP(Karakterlap!$V$7,$A$24:$J$33,10,FALSE),0)</f>
        <v>11</v>
      </c>
      <c r="BK16" s="40">
        <f t="shared" si="1"/>
        <v>13</v>
      </c>
      <c r="BL16" s="40">
        <f>IF((SUM(Karakterlap!$F$3:$F$12)-SUM(BB16:BK16))&lt;0,0,SUM(Karakterlap!$F$3:$F$12)-SUM(BB16:BK16))</f>
        <v>0</v>
      </c>
      <c r="BM16" t="e">
        <f>IF(Karakterlap!$F$3&gt;18,IF((Karakterlap!$F$3-IF(BB16&gt;18,BB16,18))&gt;0,Karakterlap!$F$3-IF(BB16&gt;18,BB16,18),0),0)+IF(Karakterlap!$F$4&gt;18,IF((Karakterlap!$F$4-IF(BC16&gt;18,BC16,18))&gt;0,Karakterlap!$F$4-IF(BC16&gt;18,BC16,18),0),0)+IF(Karakterlap!$F$5&gt;18,IF((Karakterlap!$F$5-IF(BD16&gt;18,BD16,18))&gt;0,Karakterlap!$F$5-IF(BD16&gt;18,BD16,18),0),0)+IF(Karakterlap!$F$6&gt;18,IF((Karakterlap!$F$6-IF(BE16&gt;18,BE16,18))&gt;0,Karakterlap!$F$6-IF(BE16&gt;18,BE16,18),0),0)+IF(Karakterlap!$F$7&gt;18,IF((Karakterlap!$F$7-IF(BF16&gt;18,BF16,18))&gt;0,Karakterlap!$F$7-IF(BF16&gt;18,BF16,18),0),0)+IF(Karakterlap!$F$8&gt;18,IF((Karakterlap!$F$8-IF(BG16&gt;18,BG16,18))&gt;0,Karakterlap!$F$8-IF(BG16&gt;18,BG16,18),0),0)+IF(Karakterlap!$F$9&gt;18,IF((Karakterlap!$F$9-IF(BH16&gt;18,BH16,18))&gt;0,Karakterlap!$F$9-IF(BH16&gt;18,BH16,18),0),0)+IF(Karakterlap!$F$10&gt;18,IF((Karakterlap!$F$10-IF(BI16&gt;18,BI16,18))&gt;0,Karakterlap!$F$10-IF(BI16&gt;18,BI16,18),0),0)+IF(Karakterlap!$F$11&gt;18,IF((Karakterlap!$F$11-IF(BJ16&gt;18,BJ16,18))&gt;0,Karakterlap!$F$11-IF(BJ16&gt;18,BJ16,18),0),0)+IF(Karakterlap!$F$12&gt;18,IF((Karakterlap!$F$12-IF(BK16&gt;18,BK16,18))&gt;0,Karakterlap!$F$12-IF(BK16&gt;18,BK16,18),0),0)</f>
        <v>#VALUE!</v>
      </c>
    </row>
    <row r="17" spans="1:65" x14ac:dyDescent="0.25">
      <c r="A17" s="261" t="s">
        <v>69</v>
      </c>
      <c r="B17" s="262"/>
      <c r="C17" s="8">
        <v>10000</v>
      </c>
      <c r="E17" s="263" t="s">
        <v>83</v>
      </c>
      <c r="F17" s="264"/>
      <c r="G17" s="29"/>
      <c r="H17" s="52" t="s">
        <v>256</v>
      </c>
      <c r="I17" s="53"/>
      <c r="J17" s="54">
        <v>150</v>
      </c>
      <c r="L17" t="s">
        <v>207</v>
      </c>
      <c r="M17">
        <v>0</v>
      </c>
      <c r="N17">
        <v>161</v>
      </c>
      <c r="O17">
        <v>321</v>
      </c>
      <c r="P17">
        <v>641</v>
      </c>
      <c r="Q17">
        <v>1441</v>
      </c>
      <c r="R17">
        <v>2801</v>
      </c>
      <c r="S17">
        <v>5601</v>
      </c>
      <c r="T17">
        <v>10001</v>
      </c>
      <c r="U17">
        <v>20001</v>
      </c>
      <c r="V17">
        <v>40001</v>
      </c>
      <c r="W17">
        <v>60001</v>
      </c>
      <c r="X17">
        <v>80001</v>
      </c>
      <c r="Y17">
        <f>IFERROR(IF(VLOOKUP(L17,Karakterlap!$P$3:$Z$4,10,FALSE)&gt;13,112001+((VLOOKUP(L17,Karakterlap!$P$3:$Z$4,10,FALSE)-13)*31200),112001),112001)</f>
        <v>112001</v>
      </c>
      <c r="Z17">
        <v>9</v>
      </c>
      <c r="AA17">
        <v>20</v>
      </c>
      <c r="AB17">
        <v>75</v>
      </c>
      <c r="AC17">
        <v>25</v>
      </c>
      <c r="AD17">
        <f>IFERROR(VLOOKUP(L17,Karakterlap!$P$3:$Z$4,10,FALSE)*11,11)</f>
        <v>11</v>
      </c>
      <c r="AE17">
        <f>IFERROR(IF(Karakterlap!$P$5="Váltott kaszt",IF(Karakterlap!$P$3=Adattábla!$L17,Karakterlap!$Y$3*3,IF(Karakterlap!$P$4=Adattábla!$L17,(Karakterlap!$Y$4-Adattábla!$I$20)*3,3)),VLOOKUP(Adattábla!$L17,Karakterlap!$P$3:$Z$4,10,FALSE)*3),3)</f>
        <v>3</v>
      </c>
      <c r="AF17">
        <f>IFERROR(IF(Karakterlap!$P$5="Váltott kaszt",IF(Karakterlap!$P$3=Adattábla!$L17,Karakterlap!$Y$3*3,IF(Karakterlap!$P$4=Adattábla!$L17,(Karakterlap!$Y$4-Adattábla!$I$20)*3,3)),VLOOKUP(Adattábla!$L17,Karakterlap!$P$3:$Z$4,10,FALSE)*3),3)</f>
        <v>3</v>
      </c>
      <c r="AG17">
        <v>5</v>
      </c>
      <c r="AH17">
        <f>IF(Karakterlap!$P$5="Iker kaszt",IF(Karakterlap!$P$3=L17,IFERROR((Karakterlap!$P$6*6)+(VLOOKUP(L17,Karakterlap!$P$3:$Z$4,10,FALSE)-Karakterlap!$P$6),6),IF(Karakterlap!$P$4=L17,VLOOKUP(L17,Karakterlap!$P$3:$Z$4,10,FALSE),6)),IF(Karakterlap!$P$5="Váltott kaszt",IF(L17=Karakterlap!$P$3,(Karakterlap!$Y$3+3)*6,VLOOKUP(L17,Karakterlap!$P$3:$Z$4,10,FALSE)*6),IFERROR(VLOOKUP(L17,Karakterlap!$P$3:$Z$4,10,FALSE)*6,6)))</f>
        <v>6</v>
      </c>
      <c r="AI17">
        <f>IFERROR(IF(Karakterlap!$P$5="Váltott kaszt",IF(L17=Karakterlap!$P$3,Karakterlap!$P$6*20,VLOOKUP(L17,Karakterlap!$P$3:$Z$4,10,FALSE)*20),VLOOKUP(L17,Karakterlap!$P$3:$Z$4,10,FALSE)*20),20)</f>
        <v>20</v>
      </c>
      <c r="AJ17">
        <v>7</v>
      </c>
      <c r="AK17">
        <v>6</v>
      </c>
      <c r="AL17">
        <f>IFERROR(VLOOKUP(L17,Karakterlap!$P$3:$Z$4,10,FALSE)*($E$18+4),$E$18+4)</f>
        <v>10</v>
      </c>
      <c r="AN17" t="s">
        <v>115</v>
      </c>
      <c r="AQ17" s="17">
        <v>35</v>
      </c>
      <c r="AR17" s="17">
        <v>25</v>
      </c>
      <c r="AS17" s="17">
        <v>20</v>
      </c>
      <c r="AT17" s="17">
        <v>50</v>
      </c>
      <c r="AU17" s="17">
        <v>50</v>
      </c>
      <c r="BA17">
        <f>IFERROR(IF(Karakterlap!$P$6&gt;13,112001+((Karakterlap!$P$6-13)*31200),112001),112001)</f>
        <v>112001</v>
      </c>
      <c r="BB17" s="40">
        <f>VLOOKUP("k6+12",$I$2:$J$11,2,FALSE)+IFERROR(VLOOKUP(Karakterlap!$V$7,$A$24:$C$33,3,FALSE),0)</f>
        <v>16</v>
      </c>
      <c r="BC17" s="40">
        <f>VLOOKUP("k10+8",$I$2:$J$11,2,FALSE)+IFERROR(VLOOKUP(Karakterlap!$V$7,$A$24:$D$33,4,FALSE),0)</f>
        <v>14</v>
      </c>
      <c r="BD17" s="40">
        <f>VLOOKUP("2k6+6",$I$2:$J$11,2,FALSE)+IFERROR(VLOOKUP(Karakterlap!$V$7,$A$24:$E$33,5,FALSE),0)</f>
        <v>13</v>
      </c>
      <c r="BE17" s="40">
        <f>VLOOKUP("2k6+6",$I$2:$J$11,2,FALSE)+IFERROR(VLOOKUP(Karakterlap!$V$7,$A$24:$F$33,6,FALSE),0)</f>
        <v>13</v>
      </c>
      <c r="BF17" s="40">
        <f>VLOOKUP("k10+10",$I$2:$J$11,2,FALSE)+IFERROR(VLOOKUP(Karakterlap!$V$7,$A$24:$G$33,7,FALSE),0)</f>
        <v>16</v>
      </c>
      <c r="BG17" s="40">
        <f>VLOOKUP("3k6(2x)",$I$2:$J$11,2,FALSE)+IFERROR(VLOOKUP(Karakterlap!$V$7,$A$24:$H$33,8,FALSE),0)</f>
        <v>11</v>
      </c>
      <c r="BH17" s="40">
        <f>VLOOKUP("3k6(2x)",$I$2:$J$11,2,FALSE)+IFERROR(VLOOKUP(Karakterlap!$V$7,$A$24:$I$33,9,FALSE),0)</f>
        <v>11</v>
      </c>
      <c r="BI17" s="40">
        <f t="shared" si="0"/>
        <v>13</v>
      </c>
      <c r="BJ17" s="40">
        <f>VLOOKUP("3k6(2x)",$I$2:$J$11,2,FALSE)+IFERROR(VLOOKUP(Karakterlap!$V$7,$A$24:$J$33,10,FALSE),0)</f>
        <v>11</v>
      </c>
      <c r="BK17" s="40">
        <f t="shared" si="1"/>
        <v>13</v>
      </c>
      <c r="BL17" s="40">
        <f>IF((SUM(Karakterlap!$F$3:$F$12)-SUM(BB17:BK17))&lt;0,0,SUM(Karakterlap!$F$3:$F$12)-SUM(BB17:BK17))</f>
        <v>0</v>
      </c>
      <c r="BM17" t="e">
        <f>IF(Karakterlap!$F$3&gt;18,IF((Karakterlap!$F$3-IF(BB17&gt;18,BB17,18))&gt;0,Karakterlap!$F$3-IF(BB17&gt;18,BB17,18),0),0)+IF(Karakterlap!$F$4&gt;18,IF((Karakterlap!$F$4-IF(BC17&gt;18,BC17,18))&gt;0,Karakterlap!$F$4-IF(BC17&gt;18,BC17,18),0),0)+IF(Karakterlap!$F$5&gt;18,IF((Karakterlap!$F$5-IF(BD17&gt;18,BD17,18))&gt;0,Karakterlap!$F$5-IF(BD17&gt;18,BD17,18),0),0)+IF(Karakterlap!$F$6&gt;18,IF((Karakterlap!$F$6-IF(BE17&gt;18,BE17,18))&gt;0,Karakterlap!$F$6-IF(BE17&gt;18,BE17,18),0),0)+IF(Karakterlap!$F$7&gt;18,IF((Karakterlap!$F$7-IF(BF17&gt;18,BF17,18))&gt;0,Karakterlap!$F$7-IF(BF17&gt;18,BF17,18),0),0)+IF(Karakterlap!$F$8&gt;18,IF((Karakterlap!$F$8-IF(BG17&gt;18,BG17,18))&gt;0,Karakterlap!$F$8-IF(BG17&gt;18,BG17,18),0),0)+IF(Karakterlap!$F$9&gt;18,IF((Karakterlap!$F$9-IF(BH17&gt;18,BH17,18))&gt;0,Karakterlap!$F$9-IF(BH17&gt;18,BH17,18),0),0)+IF(Karakterlap!$F$10&gt;18,IF((Karakterlap!$F$10-IF(BI17&gt;18,BI17,18))&gt;0,Karakterlap!$F$10-IF(BI17&gt;18,BI17,18),0),0)+IF(Karakterlap!$F$11&gt;18,IF((Karakterlap!$F$11-IF(BJ17&gt;18,BJ17,18))&gt;0,Karakterlap!$F$11-IF(BJ17&gt;18,BJ17,18),0),0)+IF(Karakterlap!$F$12&gt;18,IF((Karakterlap!$F$12-IF(BK17&gt;18,BK17,18))&gt;0,Karakterlap!$F$12-IF(BK17&gt;18,BK17,18),0),0)</f>
        <v>#VALUE!</v>
      </c>
    </row>
    <row r="18" spans="1:65" x14ac:dyDescent="0.25">
      <c r="A18" s="258" t="s">
        <v>163</v>
      </c>
      <c r="B18" s="259"/>
      <c r="C18" s="32">
        <v>1</v>
      </c>
      <c r="E18" s="7">
        <v>6</v>
      </c>
      <c r="F18" s="2"/>
      <c r="G18" s="30"/>
      <c r="H18" s="55" t="s">
        <v>257</v>
      </c>
      <c r="I18" s="56"/>
      <c r="J18" s="57">
        <v>300</v>
      </c>
      <c r="L18" t="s">
        <v>208</v>
      </c>
      <c r="M18">
        <v>0</v>
      </c>
      <c r="N18">
        <v>161</v>
      </c>
      <c r="O18">
        <v>321</v>
      </c>
      <c r="P18">
        <v>641</v>
      </c>
      <c r="Q18">
        <v>1441</v>
      </c>
      <c r="R18">
        <v>2801</v>
      </c>
      <c r="S18">
        <v>5601</v>
      </c>
      <c r="T18">
        <v>10001</v>
      </c>
      <c r="U18">
        <v>20001</v>
      </c>
      <c r="V18">
        <v>40001</v>
      </c>
      <c r="W18">
        <v>60001</v>
      </c>
      <c r="X18">
        <v>80001</v>
      </c>
      <c r="Y18">
        <f>IFERROR(IF(VLOOKUP(L18,Karakterlap!$P$3:$Z$4,10,FALSE)&gt;13,112001+((VLOOKUP(L18,Karakterlap!$P$3:$Z$4,10,FALSE)-13)*31200),112001),112001)</f>
        <v>112001</v>
      </c>
      <c r="Z18">
        <v>9</v>
      </c>
      <c r="AA18">
        <v>20</v>
      </c>
      <c r="AB18">
        <v>75</v>
      </c>
      <c r="AC18">
        <v>0</v>
      </c>
      <c r="AD18">
        <f>IFERROR(VLOOKUP(L18,Karakterlap!$P$3:$Z$4,10,FALSE)*11,11)</f>
        <v>11</v>
      </c>
      <c r="AE18">
        <f>IFERROR(IF(Karakterlap!$P$5="Váltott kaszt",IF(Karakterlap!$P$3=Adattábla!$L18,Karakterlap!$Y$3*3,IF(Karakterlap!$P$4=Adattábla!$L18,(Karakterlap!$Y$4-Adattábla!$I$20)*3,3)),VLOOKUP(Adattábla!$L18,Karakterlap!$P$3:$Z$4,10,FALSE)*3),3)</f>
        <v>3</v>
      </c>
      <c r="AF18">
        <f>IFERROR(IF(Karakterlap!$P$5="Váltott kaszt",IF(Karakterlap!$P$3=Adattábla!$L18,Karakterlap!$Y$3*3,IF(Karakterlap!$P$4=Adattábla!$L18,(Karakterlap!$Y$4-Adattábla!$I$20)*3,3)),VLOOKUP(Adattábla!$L18,Karakterlap!$P$3:$Z$4,10,FALSE)*3),3)</f>
        <v>3</v>
      </c>
      <c r="AG18">
        <v>3</v>
      </c>
      <c r="AH18">
        <f>IF(Karakterlap!$P$5="Iker kaszt",IF(Karakterlap!$P$3=L18,IFERROR((Karakterlap!$P$6*14)+(VLOOKUP(L18,Karakterlap!$P$3:$Z$4,10,FALSE)-Karakterlap!$P$6),14),IF(Karakterlap!$P$4=L18,VLOOKUP(L18,Karakterlap!$P$3:$Z$4,10,FALSE),14)),IF(Karakterlap!$P$5="Váltott kaszt",IF(L18=Karakterlap!$P$3,(Karakterlap!$Y$3+3)*14,VLOOKUP(L18,Karakterlap!$P$3:$Z$4,10,FALSE)*14),IFERROR(VLOOKUP(L18,Karakterlap!$P$3:$Z$4,10,FALSE)*14,14)))</f>
        <v>14</v>
      </c>
      <c r="AI18">
        <v>0</v>
      </c>
      <c r="AJ18">
        <v>7</v>
      </c>
      <c r="AK18">
        <v>6</v>
      </c>
      <c r="AL18">
        <f>IFERROR(VLOOKUP(L18,Karakterlap!$P$3:$Z$4,10,FALSE)*($E$18+4),$E$18+4)</f>
        <v>10</v>
      </c>
      <c r="AN18" t="s">
        <v>115</v>
      </c>
      <c r="BA18">
        <f>IFERROR(IF(Karakterlap!$P$6&gt;13,112001+((Karakterlap!$P$6-13)*31200),112001),112001)</f>
        <v>112001</v>
      </c>
      <c r="BB18" s="40">
        <f>VLOOKUP("k6+12",$I$2:$J$11,2,FALSE)+IFERROR(VLOOKUP(Karakterlap!$V$7,$A$24:$C$33,3,FALSE),0)</f>
        <v>16</v>
      </c>
      <c r="BC18" s="40">
        <f>VLOOKUP("k10+8",$I$2:$J$11,2,FALSE)+IFERROR(VLOOKUP(Karakterlap!$V$7,$A$24:$D$33,4,FALSE),0)</f>
        <v>14</v>
      </c>
      <c r="BD18" s="40">
        <f>VLOOKUP("2k6+6",$I$2:$J$11,2,FALSE)+IFERROR(VLOOKUP(Karakterlap!$V$7,$A$24:$E$33,5,FALSE),0)</f>
        <v>13</v>
      </c>
      <c r="BE18" s="40">
        <f>VLOOKUP("2k6+6",$I$2:$J$11,2,FALSE)+IFERROR(VLOOKUP(Karakterlap!$V$7,$A$24:$F$33,6,FALSE),0)</f>
        <v>13</v>
      </c>
      <c r="BF18" s="40">
        <f>VLOOKUP("k10+10",$I$2:$J$11,2,FALSE)+IFERROR(VLOOKUP(Karakterlap!$V$7,$A$24:$G$33,7,FALSE),0)</f>
        <v>16</v>
      </c>
      <c r="BG18" s="40">
        <f>VLOOKUP("3k6(2x)",$I$2:$J$11,2,FALSE)+IFERROR(VLOOKUP(Karakterlap!$V$7,$A$24:$H$33,8,FALSE),0)</f>
        <v>11</v>
      </c>
      <c r="BH18" s="40">
        <f>VLOOKUP("3k6(2x)",$I$2:$J$11,2,FALSE)+IFERROR(VLOOKUP(Karakterlap!$V$7,$A$24:$I$33,9,FALSE),0)</f>
        <v>11</v>
      </c>
      <c r="BI18" s="40">
        <f t="shared" si="0"/>
        <v>13</v>
      </c>
      <c r="BJ18" s="40">
        <f>VLOOKUP("3k6(2x)",$I$2:$J$11,2,FALSE)+IFERROR(VLOOKUP(Karakterlap!$V$7,$A$24:$J$33,10,FALSE),0)</f>
        <v>11</v>
      </c>
      <c r="BK18" s="40">
        <f t="shared" si="1"/>
        <v>13</v>
      </c>
      <c r="BL18" s="40">
        <f>IF((SUM(Karakterlap!$F$3:$F$12)-SUM(BB18:BK18))&lt;0,0,SUM(Karakterlap!$F$3:$F$12)-SUM(BB18:BK18))</f>
        <v>0</v>
      </c>
      <c r="BM18" t="e">
        <f>IF(Karakterlap!$F$3&gt;18,IF((Karakterlap!$F$3-IF(BB18&gt;18,BB18,18))&gt;0,Karakterlap!$F$3-IF(BB18&gt;18,BB18,18),0),0)+IF(Karakterlap!$F$4&gt;18,IF((Karakterlap!$F$4-IF(BC18&gt;18,BC18,18))&gt;0,Karakterlap!$F$4-IF(BC18&gt;18,BC18,18),0),0)+IF(Karakterlap!$F$5&gt;18,IF((Karakterlap!$F$5-IF(BD18&gt;18,BD18,18))&gt;0,Karakterlap!$F$5-IF(BD18&gt;18,BD18,18),0),0)+IF(Karakterlap!$F$6&gt;18,IF((Karakterlap!$F$6-IF(BE18&gt;18,BE18,18))&gt;0,Karakterlap!$F$6-IF(BE18&gt;18,BE18,18),0),0)+IF(Karakterlap!$F$7&gt;18,IF((Karakterlap!$F$7-IF(BF18&gt;18,BF18,18))&gt;0,Karakterlap!$F$7-IF(BF18&gt;18,BF18,18),0),0)+IF(Karakterlap!$F$8&gt;18,IF((Karakterlap!$F$8-IF(BG18&gt;18,BG18,18))&gt;0,Karakterlap!$F$8-IF(BG18&gt;18,BG18,18),0),0)+IF(Karakterlap!$F$9&gt;18,IF((Karakterlap!$F$9-IF(BH18&gt;18,BH18,18))&gt;0,Karakterlap!$F$9-IF(BH18&gt;18,BH18,18),0),0)+IF(Karakterlap!$F$10&gt;18,IF((Karakterlap!$F$10-IF(BI18&gt;18,BI18,18))&gt;0,Karakterlap!$F$10-IF(BI18&gt;18,BI18,18),0),0)+IF(Karakterlap!$F$11&gt;18,IF((Karakterlap!$F$11-IF(BJ18&gt;18,BJ18,18))&gt;0,Karakterlap!$F$11-IF(BJ18&gt;18,BJ18,18),0),0)+IF(Karakterlap!$F$12&gt;18,IF((Karakterlap!$F$12-IF(BK18&gt;18,BK18,18))&gt;0,Karakterlap!$F$12-IF(BK18&gt;18,BK18,18),0),0)</f>
        <v>#VALUE!</v>
      </c>
    </row>
    <row r="19" spans="1:65" ht="15.75" thickBot="1" x14ac:dyDescent="0.3">
      <c r="A19" s="36"/>
      <c r="B19" s="36"/>
      <c r="C19" s="37"/>
      <c r="E19" s="1"/>
      <c r="F19" s="1"/>
      <c r="G19" s="30"/>
      <c r="H19" s="31"/>
      <c r="I19" s="31"/>
      <c r="J19" s="31"/>
      <c r="L19" t="s">
        <v>235</v>
      </c>
      <c r="M19">
        <v>0</v>
      </c>
      <c r="N19">
        <v>161</v>
      </c>
      <c r="O19">
        <v>321</v>
      </c>
      <c r="P19">
        <v>641</v>
      </c>
      <c r="Q19">
        <v>1441</v>
      </c>
      <c r="R19">
        <v>2801</v>
      </c>
      <c r="S19">
        <v>5601</v>
      </c>
      <c r="T19">
        <v>10001</v>
      </c>
      <c r="U19">
        <v>20001</v>
      </c>
      <c r="V19">
        <v>40001</v>
      </c>
      <c r="W19">
        <v>60001</v>
      </c>
      <c r="X19">
        <v>80001</v>
      </c>
      <c r="Y19">
        <f>IFERROR(IF(VLOOKUP(L19,Karakterlap!$P$3:$Z$4,10,FALSE)&gt;13,112001+((VLOOKUP(L19,Karakterlap!$P$3:$Z$4,10,FALSE)-13)*31200),112001),112001)</f>
        <v>112001</v>
      </c>
      <c r="Z19">
        <v>4</v>
      </c>
      <c r="AA19">
        <v>15</v>
      </c>
      <c r="AB19">
        <v>70</v>
      </c>
      <c r="AC19">
        <v>0</v>
      </c>
      <c r="AD19">
        <f>IFERROR(IF(VLOOKUP(L19,Karakterlap!$P$3:$Z$4,10,FALSE)&gt;5,IF(VLOOKUP(L19,Karakterlap!$P$3:$Z$4,10,FALSE)&gt;7,55+((VLOOKUP(L19,Karakterlap!$P$3:$Z$4,10,FALSE)-7)*11),55),VLOOKUP(L19,Karakterlap!$P$3:$Z$4,10,FALSE)*11),11)</f>
        <v>11</v>
      </c>
      <c r="AE19">
        <f>IFERROR(IF(Karakterlap!$P$5="Váltott kaszt",IF(Karakterlap!$P$3=Adattábla!$L19,Karakterlap!$Y$3*3,IF(Karakterlap!$P$4=Adattábla!$L19,(Karakterlap!$Y$4-Adattábla!$I$20)*3,3)),VLOOKUP(Adattábla!$L19,Karakterlap!$P$3:$Z$4,10,FALSE)*3),3)</f>
        <v>3</v>
      </c>
      <c r="AF19">
        <f>IFERROR(IF(Karakterlap!$P$5="Váltott kaszt",IF(Karakterlap!$P$3=Adattábla!$L19,Karakterlap!$Y$3*3,IF(Karakterlap!$P$4=Adattábla!$L19,(Karakterlap!$Y$4-Adattábla!$I$20)*3,3)),VLOOKUP(Adattábla!$L19,Karakterlap!$P$3:$Z$4,10,FALSE)*3),3)</f>
        <v>3</v>
      </c>
      <c r="AG19">
        <v>3</v>
      </c>
      <c r="AH19">
        <f>IF(Karakterlap!$P$5="Iker kaszt",IF(Karakterlap!$P$3=L19,IFERROR((Karakterlap!$P$6*14)+(VLOOKUP(L19,Karakterlap!$P$3:$Z$4,10,FALSE)-Karakterlap!$P$6),14),IF(Karakterlap!$P$4=L19,VLOOKUP(L19,Karakterlap!$P$3:$Z$4,10,FALSE),14)),IF(Karakterlap!$P$5="Váltott kaszt",IF(L19=Karakterlap!$P$3,(Karakterlap!$Y$3+3)*14,VLOOKUP(L19,Karakterlap!$P$3:$Z$4,10,FALSE)*14),IFERROR(VLOOKUP(L19,Karakterlap!$P$3:$Z$4,10,FALSE)*14,14)))</f>
        <v>14</v>
      </c>
      <c r="AI19">
        <v>0</v>
      </c>
      <c r="AJ19">
        <f>7+($E$18/2)</f>
        <v>10</v>
      </c>
      <c r="AK19">
        <v>6</v>
      </c>
      <c r="AL19">
        <f>IFERROR(VLOOKUP(L19,Karakterlap!$P$3:$Z$4,10,FALSE)*($E$18+4),$E$18+4)</f>
        <v>10</v>
      </c>
      <c r="AN19" t="str">
        <f>IFERROR(IF(VLOOKUP(L19,Karakterlap!$P$3:$Z$4,10,FALSE)&gt;4,"Pyarroni Mf","nincs"),"még nincs")</f>
        <v>még nincs</v>
      </c>
      <c r="AO19" t="str">
        <f>IFERROR(IF(VLOOKUP(L19,Karakterlap!$P$3:$Z$4,10,FALSE)&gt;4,(IF(Karakterlap!$F$9&gt;10,Karakterlap!$F$9-10,0))+5+((VLOOKUP(L19,Karakterlap!$P$3:$Z$4,10,FALSE)-5)*4),"alacsony szintű"),"más kaszt")</f>
        <v>más kaszt</v>
      </c>
      <c r="BA19">
        <f>IFERROR(IF(Karakterlap!$P$6&gt;13,112001+((Karakterlap!$P$6-13)*31200),112001),112001)</f>
        <v>112001</v>
      </c>
      <c r="BB19" s="40">
        <f>VLOOKUP("k6+12",$I$2:$J$11,2,FALSE)+IFERROR(VLOOKUP(Karakterlap!$V$7,$A$24:$C$33,3,FALSE),0)</f>
        <v>16</v>
      </c>
      <c r="BC19" s="40">
        <f>VLOOKUP("k10+8",$I$2:$J$11,2,FALSE)+IFERROR(VLOOKUP(Karakterlap!$V$7,$A$24:$D$33,4,FALSE),0)</f>
        <v>14</v>
      </c>
      <c r="BD19" s="40">
        <f>VLOOKUP("2k6+6",$I$2:$J$11,2,FALSE)+IFERROR(VLOOKUP(Karakterlap!$V$7,$A$24:$E$33,5,FALSE),0)</f>
        <v>13</v>
      </c>
      <c r="BE19" s="40">
        <f>VLOOKUP("2k6+6",$I$2:$J$11,2,FALSE)+IFERROR(VLOOKUP(Karakterlap!$V$7,$A$24:$F$33,6,FALSE),0)</f>
        <v>13</v>
      </c>
      <c r="BF19" s="40">
        <f>VLOOKUP("k10+10",$I$2:$J$11,2,FALSE)+IFERROR(VLOOKUP(Karakterlap!$V$7,$A$24:$G$33,7,FALSE),0)</f>
        <v>16</v>
      </c>
      <c r="BG19" s="40">
        <f>VLOOKUP("3k6(2x)",$I$2:$J$11,2,FALSE)+IFERROR(VLOOKUP(Karakterlap!$V$7,$A$24:$H$33,8,FALSE),0)</f>
        <v>11</v>
      </c>
      <c r="BH19" s="40">
        <f>VLOOKUP("3k6(2x)",$I$2:$J$11,2,FALSE)+IFERROR(VLOOKUP(Karakterlap!$V$7,$A$24:$I$33,9,FALSE),0)</f>
        <v>11</v>
      </c>
      <c r="BI19" s="40">
        <f t="shared" si="0"/>
        <v>13</v>
      </c>
      <c r="BJ19" s="40">
        <f>VLOOKUP("3k6(2x)",$I$2:$J$11,2,FALSE)+IFERROR(VLOOKUP(Karakterlap!$V$7,$A$24:$J$33,10,FALSE),0)</f>
        <v>11</v>
      </c>
      <c r="BK19" s="40">
        <f t="shared" si="1"/>
        <v>13</v>
      </c>
      <c r="BL19" s="40">
        <f>IF((SUM(Karakterlap!$F$3:$F$12)-SUM(BB19:BK19))&lt;0,0,SUM(Karakterlap!$F$3:$F$12)-SUM(BB19:BK19))</f>
        <v>0</v>
      </c>
      <c r="BM19" t="e">
        <f>IF(Karakterlap!$F$3&gt;18,IF((Karakterlap!$F$3-IF(BB19&gt;18,BB19,18))&gt;0,Karakterlap!$F$3-IF(BB19&gt;18,BB19,18),0),0)+IF(Karakterlap!$F$4&gt;18,IF((Karakterlap!$F$4-IF(BC19&gt;18,BC19,18))&gt;0,Karakterlap!$F$4-IF(BC19&gt;18,BC19,18),0),0)+IF(Karakterlap!$F$5&gt;18,IF((Karakterlap!$F$5-IF(BD19&gt;18,BD19,18))&gt;0,Karakterlap!$F$5-IF(BD19&gt;18,BD19,18),0),0)+IF(Karakterlap!$F$6&gt;18,IF((Karakterlap!$F$6-IF(BE19&gt;18,BE19,18))&gt;0,Karakterlap!$F$6-IF(BE19&gt;18,BE19,18),0),0)+IF(Karakterlap!$F$7&gt;18,IF((Karakterlap!$F$7-IF(BF19&gt;18,BF19,18))&gt;0,Karakterlap!$F$7-IF(BF19&gt;18,BF19,18),0),0)+IF(Karakterlap!$F$8&gt;18,IF((Karakterlap!$F$8-IF(BG19&gt;18,BG19,18))&gt;0,Karakterlap!$F$8-IF(BG19&gt;18,BG19,18),0),0)+IF(Karakterlap!$F$9&gt;18,IF((Karakterlap!$F$9-IF(BH19&gt;18,BH19,18))&gt;0,Karakterlap!$F$9-IF(BH19&gt;18,BH19,18),0),0)+IF(Karakterlap!$F$10&gt;18,IF((Karakterlap!$F$10-IF(BI19&gt;18,BI19,18))&gt;0,Karakterlap!$F$10-IF(BI19&gt;18,BI19,18),0),0)+IF(Karakterlap!$F$11&gt;18,IF((Karakterlap!$F$11-IF(BJ19&gt;18,BJ19,18))&gt;0,Karakterlap!$F$11-IF(BJ19&gt;18,BJ19,18),0),0)+IF(Karakterlap!$F$12&gt;18,IF((Karakterlap!$F$12-IF(BK19&gt;18,BK19,18))&gt;0,Karakterlap!$F$12-IF(BK19&gt;18,BK19,18),0),0)</f>
        <v>#VALUE!</v>
      </c>
    </row>
    <row r="20" spans="1:65" ht="15.75" thickBot="1" x14ac:dyDescent="0.3">
      <c r="A20" s="256" t="s">
        <v>238</v>
      </c>
      <c r="B20" s="257"/>
      <c r="C20" s="257"/>
      <c r="D20" s="257"/>
      <c r="E20" s="257"/>
      <c r="F20" s="257"/>
      <c r="G20" s="257"/>
      <c r="H20" s="257"/>
      <c r="I20" s="38" t="str">
        <f>IF(Karakterlap!P5="Váltott kaszt",ROUNDUP(VLOOKUP(Karakterlap!P3,Adattábla!L:AD,19,FALSE)/(VLOOKUP(Karakterlap!P4,Adattábla!L:AD,19,FALSE)/Karakterlap!Y4),0),"Nem váltott")</f>
        <v>Nem váltott</v>
      </c>
      <c r="L20" t="s">
        <v>209</v>
      </c>
      <c r="M20">
        <v>0</v>
      </c>
      <c r="N20">
        <v>161</v>
      </c>
      <c r="O20">
        <v>321</v>
      </c>
      <c r="P20">
        <v>641</v>
      </c>
      <c r="Q20">
        <v>1441</v>
      </c>
      <c r="R20">
        <v>2801</v>
      </c>
      <c r="S20">
        <v>5601</v>
      </c>
      <c r="T20">
        <v>10001</v>
      </c>
      <c r="U20">
        <v>20001</v>
      </c>
      <c r="V20">
        <v>40001</v>
      </c>
      <c r="W20">
        <v>60001</v>
      </c>
      <c r="X20">
        <v>80001</v>
      </c>
      <c r="Y20">
        <f>IFERROR(IF(VLOOKUP(L20,Karakterlap!$P$3:$Z$4,10,FALSE)&gt;13,112001+((VLOOKUP(L20,Karakterlap!$P$3:$Z$4,10,FALSE)-13)*31200),112001),112001)</f>
        <v>112001</v>
      </c>
      <c r="Z20">
        <v>10</v>
      </c>
      <c r="AA20">
        <v>25</v>
      </c>
      <c r="AB20">
        <v>70</v>
      </c>
      <c r="AC20">
        <v>0</v>
      </c>
      <c r="AD20">
        <f>IFERROR(VLOOKUP(L20,Karakterlap!$P$3:$Z$4,10,FALSE)*11,11)</f>
        <v>11</v>
      </c>
      <c r="AE20">
        <f>IFERROR(IF(Karakterlap!$P$5="Váltott kaszt",IF(Karakterlap!$P$3=Adattábla!$L20,Karakterlap!$Y$3*3,IF(Karakterlap!$P$4=Adattábla!$L20,(Karakterlap!$Y$4-Adattábla!$I$20)*3,3)),VLOOKUP(Adattábla!$L20,Karakterlap!$P$3:$Z$4,10,FALSE)*3),3)</f>
        <v>3</v>
      </c>
      <c r="AF20">
        <f>IFERROR(IF(Karakterlap!$P$5="Váltott kaszt",IF(Karakterlap!$P$3=Adattábla!$L20,Karakterlap!$Y$3*3,IF(Karakterlap!$P$4=Adattábla!$L20,(Karakterlap!$Y$4-Adattábla!$I$20)*3,3)),VLOOKUP(Adattábla!$L20,Karakterlap!$P$3:$Z$4,10,FALSE)*3),3)</f>
        <v>3</v>
      </c>
      <c r="AG20">
        <v>4</v>
      </c>
      <c r="AH20">
        <f>IF(Karakterlap!$P$5="Iker kaszt",IF(Karakterlap!$P$3=L20,IFERROR((Karakterlap!$P$6*12)+(VLOOKUP(L20,Karakterlap!$P$3:$Z$4,10,FALSE)-Karakterlap!$P$6),12),IF(Karakterlap!$P$4=L20,VLOOKUP(L20,Karakterlap!$P$3:$Z$4,10,FALSE),12)),IF(Karakterlap!$P$5="Váltott kaszt",IF(L20=Karakterlap!$P$3,(Karakterlap!$Y$3+3)*12,VLOOKUP(L20,Karakterlap!$P$3:$Z$4,10,FALSE)*12),IFERROR(VLOOKUP(L20,Karakterlap!$P$3:$Z$4,10,FALSE)*12,12)))</f>
        <v>12</v>
      </c>
      <c r="AI20">
        <v>0</v>
      </c>
      <c r="AJ20">
        <v>7</v>
      </c>
      <c r="AK20">
        <v>6</v>
      </c>
      <c r="AL20">
        <f>IFERROR(VLOOKUP(L20,Karakterlap!$P$3:$Z$4,10,FALSE)*($E$18+4),$E$18+4)</f>
        <v>10</v>
      </c>
      <c r="AN20" t="s">
        <v>115</v>
      </c>
      <c r="AQ20" s="17">
        <v>10</v>
      </c>
      <c r="AR20" s="17">
        <v>20</v>
      </c>
      <c r="AS20" s="17">
        <v>10</v>
      </c>
      <c r="BA20">
        <f>IFERROR(IF(Karakterlap!$P$6&gt;13,112001+((Karakterlap!$P$6-13)*31200),112001),112001)</f>
        <v>112001</v>
      </c>
      <c r="BB20" s="40">
        <f>VLOOKUP("k6+12",$I$2:$J$11,2,FALSE)+IFERROR(VLOOKUP(Karakterlap!$V$7,$A$24:$C$33,3,FALSE),0)</f>
        <v>16</v>
      </c>
      <c r="BC20" s="40">
        <f>VLOOKUP("k10+8",$I$2:$J$11,2,FALSE)+IFERROR(VLOOKUP(Karakterlap!$V$7,$A$24:$D$33,4,FALSE),0)</f>
        <v>14</v>
      </c>
      <c r="BD20" s="40">
        <f>VLOOKUP("2k6+6",$I$2:$J$11,2,FALSE)+IFERROR(VLOOKUP(Karakterlap!$V$7,$A$24:$E$33,5,FALSE),0)</f>
        <v>13</v>
      </c>
      <c r="BE20" s="40">
        <f>VLOOKUP("2k6+6",$I$2:$J$11,2,FALSE)+IFERROR(VLOOKUP(Karakterlap!$V$7,$A$24:$F$33,6,FALSE),0)</f>
        <v>13</v>
      </c>
      <c r="BF20" s="40">
        <f>VLOOKUP("k10+10",$I$2:$J$11,2,FALSE)+IFERROR(VLOOKUP(Karakterlap!$V$7,$A$24:$G$33,7,FALSE),0)</f>
        <v>16</v>
      </c>
      <c r="BG20" s="40">
        <f>VLOOKUP("3k6(2x)",$I$2:$J$11,2,FALSE)+IFERROR(VLOOKUP(Karakterlap!$V$7,$A$24:$H$33,8,FALSE),0)</f>
        <v>11</v>
      </c>
      <c r="BH20" s="40">
        <f>VLOOKUP("3k6(2x)",$I$2:$J$11,2,FALSE)+IFERROR(VLOOKUP(Karakterlap!$V$7,$A$24:$I$33,9,FALSE),0)</f>
        <v>11</v>
      </c>
      <c r="BI20" s="40">
        <f t="shared" si="0"/>
        <v>13</v>
      </c>
      <c r="BJ20" s="40">
        <f>VLOOKUP("3k6(2x)",$I$2:$J$11,2,FALSE)+IFERROR(VLOOKUP(Karakterlap!$V$7,$A$24:$J$33,10,FALSE),0)</f>
        <v>11</v>
      </c>
      <c r="BK20" s="40">
        <f t="shared" si="1"/>
        <v>13</v>
      </c>
      <c r="BL20" s="40">
        <f>IF((SUM(Karakterlap!$F$3:$F$12)-SUM(BB20:BK20))&lt;0,0,SUM(Karakterlap!$F$3:$F$12)-SUM(BB20:BK20))</f>
        <v>0</v>
      </c>
      <c r="BM20" t="e">
        <f>IF(Karakterlap!$F$3&gt;18,IF((Karakterlap!$F$3-IF(BB20&gt;18,BB20,18))&gt;0,Karakterlap!$F$3-IF(BB20&gt;18,BB20,18),0),0)+IF(Karakterlap!$F$4&gt;18,IF((Karakterlap!$F$4-IF(BC20&gt;18,BC20,18))&gt;0,Karakterlap!$F$4-IF(BC20&gt;18,BC20,18),0),0)+IF(Karakterlap!$F$5&gt;18,IF((Karakterlap!$F$5-IF(BD20&gt;18,BD20,18))&gt;0,Karakterlap!$F$5-IF(BD20&gt;18,BD20,18),0),0)+IF(Karakterlap!$F$6&gt;18,IF((Karakterlap!$F$6-IF(BE20&gt;18,BE20,18))&gt;0,Karakterlap!$F$6-IF(BE20&gt;18,BE20,18),0),0)+IF(Karakterlap!$F$7&gt;18,IF((Karakterlap!$F$7-IF(BF20&gt;18,BF20,18))&gt;0,Karakterlap!$F$7-IF(BF20&gt;18,BF20,18),0),0)+IF(Karakterlap!$F$8&gt;18,IF((Karakterlap!$F$8-IF(BG20&gt;18,BG20,18))&gt;0,Karakterlap!$F$8-IF(BG20&gt;18,BG20,18),0),0)+IF(Karakterlap!$F$9&gt;18,IF((Karakterlap!$F$9-IF(BH20&gt;18,BH20,18))&gt;0,Karakterlap!$F$9-IF(BH20&gt;18,BH20,18),0),0)+IF(Karakterlap!$F$10&gt;18,IF((Karakterlap!$F$10-IF(BI20&gt;18,BI20,18))&gt;0,Karakterlap!$F$10-IF(BI20&gt;18,BI20,18),0),0)+IF(Karakterlap!$F$11&gt;18,IF((Karakterlap!$F$11-IF(BJ20&gt;18,BJ20,18))&gt;0,Karakterlap!$F$11-IF(BJ20&gt;18,BJ20,18),0),0)+IF(Karakterlap!$F$12&gt;18,IF((Karakterlap!$F$12-IF(BK20&gt;18,BK20,18))&gt;0,Karakterlap!$F$12-IF(BK20&gt;18,BK20,18),0),0)</f>
        <v>#VALUE!</v>
      </c>
    </row>
    <row r="21" spans="1:65" ht="15.75" thickBot="1" x14ac:dyDescent="0.3">
      <c r="L21" t="s">
        <v>210</v>
      </c>
      <c r="M21">
        <v>0</v>
      </c>
      <c r="N21">
        <v>161</v>
      </c>
      <c r="O21">
        <v>321</v>
      </c>
      <c r="P21">
        <v>641</v>
      </c>
      <c r="Q21">
        <v>1441</v>
      </c>
      <c r="R21">
        <v>2801</v>
      </c>
      <c r="S21">
        <v>5601</v>
      </c>
      <c r="T21">
        <v>10001</v>
      </c>
      <c r="U21">
        <v>20001</v>
      </c>
      <c r="V21">
        <v>40001</v>
      </c>
      <c r="W21">
        <v>60001</v>
      </c>
      <c r="X21">
        <v>80001</v>
      </c>
      <c r="Y21">
        <f>IFERROR(IF(VLOOKUP(L21,Karakterlap!$P$3:$Z$4,10,FALSE)&gt;13,112001+((VLOOKUP(L21,Karakterlap!$P$3:$Z$4,10,FALSE)-13)*31200),112001),112001)</f>
        <v>112001</v>
      </c>
      <c r="Z21">
        <v>9</v>
      </c>
      <c r="AA21">
        <v>20</v>
      </c>
      <c r="AB21">
        <v>75</v>
      </c>
      <c r="AC21">
        <v>0</v>
      </c>
      <c r="AD21">
        <f>IFERROR(VLOOKUP(L21,Karakterlap!$P$3:$Z$4,10,FALSE)*11,11)</f>
        <v>11</v>
      </c>
      <c r="AE21">
        <f>IFERROR(IF(Karakterlap!$P$5="Váltott kaszt",IF(Karakterlap!$P$3=Adattábla!$L21,Karakterlap!$Y$3*3,IF(Karakterlap!$P$4=Adattábla!$L21,(Karakterlap!$Y$4-Adattábla!$I$20)*3,3)),VLOOKUP(Adattábla!$L21,Karakterlap!$P$3:$Z$4,10,FALSE)*3),3)</f>
        <v>3</v>
      </c>
      <c r="AF21">
        <f>IFERROR(IF(Karakterlap!$P$5="Váltott kaszt",IF(Karakterlap!$P$3=Adattábla!$L21,Karakterlap!$Y$3*3,IF(Karakterlap!$P$4=Adattábla!$L21,(Karakterlap!$Y$4-Adattábla!$I$20)*3,3)),VLOOKUP(Adattábla!$L21,Karakterlap!$P$3:$Z$4,10,FALSE)*3),3)</f>
        <v>3</v>
      </c>
      <c r="AG21">
        <v>10</v>
      </c>
      <c r="AH21">
        <f>IF(Karakterlap!$P$5="Iker kaszt",IF(Karakterlap!$P$3=L21,IFERROR((Karakterlap!$P$6*10)+(VLOOKUP(L21,Karakterlap!$P$3:$Z$4,10,FALSE)-Karakterlap!$P$6),10),IF(Karakterlap!$P$4=L21,VLOOKUP(L21,Karakterlap!$P$3:$Z$4,10,FALSE),10)),IF(Karakterlap!$P$5="Váltott kaszt",IF(L21=Karakterlap!$P$3,(Karakterlap!$Y$3+3)*10,VLOOKUP(L21,Karakterlap!$P$3:$Z$4,10,FALSE)*10),IFERROR(VLOOKUP(L21,Karakterlap!$P$3:$Z$4,10,FALSE)*10,10)))</f>
        <v>10</v>
      </c>
      <c r="AI21">
        <v>0</v>
      </c>
      <c r="AJ21">
        <v>7</v>
      </c>
      <c r="AK21">
        <v>6</v>
      </c>
      <c r="AL21">
        <f>IFERROR(VLOOKUP(L21,Karakterlap!$P$3:$Z$4,10,FALSE)*($E$18+4),$E$18+4)</f>
        <v>10</v>
      </c>
      <c r="AN21" t="s">
        <v>115</v>
      </c>
      <c r="AS21" s="17">
        <v>20</v>
      </c>
      <c r="BA21">
        <f>IFERROR(IF(Karakterlap!$P$6&gt;13,112001+((Karakterlap!$P$6-13)*31200),112001),112001)</f>
        <v>112001</v>
      </c>
      <c r="BB21" s="40">
        <f>VLOOKUP("k6+12",$I$2:$J$11,2,FALSE)+IFERROR(VLOOKUP(Karakterlap!$V$7,$A$24:$C$33,3,FALSE),0)</f>
        <v>16</v>
      </c>
      <c r="BC21" s="40">
        <f>VLOOKUP("k10+8",$I$2:$J$11,2,FALSE)+IFERROR(VLOOKUP(Karakterlap!$V$7,$A$24:$D$33,4,FALSE),0)</f>
        <v>14</v>
      </c>
      <c r="BD21" s="40">
        <f>VLOOKUP("2k6+6",$I$2:$J$11,2,FALSE)+IFERROR(VLOOKUP(Karakterlap!$V$7,$A$24:$E$33,5,FALSE),0)</f>
        <v>13</v>
      </c>
      <c r="BE21" s="40">
        <f>VLOOKUP("2k6+6",$I$2:$J$11,2,FALSE)+IFERROR(VLOOKUP(Karakterlap!$V$7,$A$24:$F$33,6,FALSE),0)</f>
        <v>13</v>
      </c>
      <c r="BF21" s="40">
        <f>VLOOKUP("k10+10",$I$2:$J$11,2,FALSE)+IFERROR(VLOOKUP(Karakterlap!$V$7,$A$24:$G$33,7,FALSE),0)</f>
        <v>16</v>
      </c>
      <c r="BG21" s="40">
        <f>VLOOKUP("3k6(2x)",$I$2:$J$11,2,FALSE)+IFERROR(VLOOKUP(Karakterlap!$V$7,$A$24:$H$33,8,FALSE),0)</f>
        <v>11</v>
      </c>
      <c r="BH21" s="40">
        <f>VLOOKUP("3k6(2x)",$I$2:$J$11,2,FALSE)+IFERROR(VLOOKUP(Karakterlap!$V$7,$A$24:$I$33,9,FALSE),0)</f>
        <v>11</v>
      </c>
      <c r="BI21" s="40">
        <f t="shared" si="0"/>
        <v>13</v>
      </c>
      <c r="BJ21" s="40">
        <f>VLOOKUP("3k6(2x)",$I$2:$J$11,2,FALSE)+IFERROR(VLOOKUP(Karakterlap!$V$7,$A$24:$J$33,10,FALSE),0)</f>
        <v>11</v>
      </c>
      <c r="BK21" s="40">
        <f t="shared" si="1"/>
        <v>13</v>
      </c>
      <c r="BL21" s="40">
        <f>IF((SUM(Karakterlap!$F$3:$F$12)-SUM(BB21:BK21))&lt;0,0,SUM(Karakterlap!$F$3:$F$12)-SUM(BB21:BK21))</f>
        <v>0</v>
      </c>
      <c r="BM21" t="e">
        <f>IF(Karakterlap!$F$3&gt;18,IF((Karakterlap!$F$3-IF(BB21&gt;18,BB21,18))&gt;0,Karakterlap!$F$3-IF(BB21&gt;18,BB21,18),0),0)+IF(Karakterlap!$F$4&gt;18,IF((Karakterlap!$F$4-IF(BC21&gt;18,BC21,18))&gt;0,Karakterlap!$F$4-IF(BC21&gt;18,BC21,18),0),0)+IF(Karakterlap!$F$5&gt;18,IF((Karakterlap!$F$5-IF(BD21&gt;18,BD21,18))&gt;0,Karakterlap!$F$5-IF(BD21&gt;18,BD21,18),0),0)+IF(Karakterlap!$F$6&gt;18,IF((Karakterlap!$F$6-IF(BE21&gt;18,BE21,18))&gt;0,Karakterlap!$F$6-IF(BE21&gt;18,BE21,18),0),0)+IF(Karakterlap!$F$7&gt;18,IF((Karakterlap!$F$7-IF(BF21&gt;18,BF21,18))&gt;0,Karakterlap!$F$7-IF(BF21&gt;18,BF21,18),0),0)+IF(Karakterlap!$F$8&gt;18,IF((Karakterlap!$F$8-IF(BG21&gt;18,BG21,18))&gt;0,Karakterlap!$F$8-IF(BG21&gt;18,BG21,18),0),0)+IF(Karakterlap!$F$9&gt;18,IF((Karakterlap!$F$9-IF(BH21&gt;18,BH21,18))&gt;0,Karakterlap!$F$9-IF(BH21&gt;18,BH21,18),0),0)+IF(Karakterlap!$F$10&gt;18,IF((Karakterlap!$F$10-IF(BI21&gt;18,BI21,18))&gt;0,Karakterlap!$F$10-IF(BI21&gt;18,BI21,18),0),0)+IF(Karakterlap!$F$11&gt;18,IF((Karakterlap!$F$11-IF(BJ21&gt;18,BJ21,18))&gt;0,Karakterlap!$F$11-IF(BJ21&gt;18,BJ21,18),0),0)+IF(Karakterlap!$F$12&gt;18,IF((Karakterlap!$F$12-IF(BK21&gt;18,BK21,18))&gt;0,Karakterlap!$F$12-IF(BK21&gt;18,BK21,18),0),0)</f>
        <v>#VALUE!</v>
      </c>
    </row>
    <row r="22" spans="1:65" x14ac:dyDescent="0.25">
      <c r="A22" s="42" t="s">
        <v>252</v>
      </c>
      <c r="B22" s="43"/>
      <c r="C22" s="43" t="s">
        <v>254</v>
      </c>
      <c r="D22" s="44"/>
      <c r="E22" s="44"/>
      <c r="F22" s="44"/>
      <c r="G22" s="44"/>
      <c r="H22" s="44"/>
      <c r="I22" s="44"/>
      <c r="J22" s="45"/>
      <c r="L22" t="s">
        <v>211</v>
      </c>
      <c r="M22">
        <v>0</v>
      </c>
      <c r="N22">
        <v>161</v>
      </c>
      <c r="O22">
        <v>321</v>
      </c>
      <c r="P22">
        <v>641</v>
      </c>
      <c r="Q22">
        <v>1441</v>
      </c>
      <c r="R22">
        <v>2801</v>
      </c>
      <c r="S22">
        <v>5601</v>
      </c>
      <c r="T22">
        <v>10001</v>
      </c>
      <c r="U22">
        <v>20001</v>
      </c>
      <c r="V22">
        <v>40001</v>
      </c>
      <c r="W22">
        <v>60001</v>
      </c>
      <c r="X22">
        <v>80001</v>
      </c>
      <c r="Y22">
        <f>IFERROR(IF(VLOOKUP(L22,Karakterlap!$P$3:$Z$4,10,FALSE)&gt;13,112001+((VLOOKUP(L22,Karakterlap!$P$3:$Z$4,10,FALSE)-13)*31200),112001),112001)</f>
        <v>112001</v>
      </c>
      <c r="Z22">
        <v>9</v>
      </c>
      <c r="AA22">
        <v>20</v>
      </c>
      <c r="AB22">
        <v>75</v>
      </c>
      <c r="AC22">
        <v>0</v>
      </c>
      <c r="AD22">
        <f>IFERROR(VLOOKUP(L22,Karakterlap!$P$3:$Z$4,10,FALSE)*11,11)</f>
        <v>11</v>
      </c>
      <c r="AE22">
        <f>IFERROR(IF(Karakterlap!$P$5="Váltott kaszt",IF(Karakterlap!$P$3=Adattábla!$L22,Karakterlap!$Y$3*3,IF(Karakterlap!$P$4=Adattábla!$L22,(Karakterlap!$Y$4-Adattábla!$I$20)*3,3)),VLOOKUP(Adattábla!$L22,Karakterlap!$P$3:$Z$4,10,FALSE)*3),3)</f>
        <v>3</v>
      </c>
      <c r="AF22">
        <f>IFERROR(IF(Karakterlap!$P$5="Váltott kaszt",IF(Karakterlap!$P$3=Adattábla!$L22,Karakterlap!$Y$3*3,IF(Karakterlap!$P$4=Adattábla!$L22,(Karakterlap!$Y$4-Adattábla!$I$20)*3,3)),VLOOKUP(Adattábla!$L22,Karakterlap!$P$3:$Z$4,10,FALSE)*3),3)</f>
        <v>3</v>
      </c>
      <c r="AG22">
        <v>5</v>
      </c>
      <c r="AH22">
        <f>IF(Karakterlap!$P$5="Iker kaszt",IF(Karakterlap!$P$3=L22,IFERROR((Karakterlap!$P$6*6)+(VLOOKUP(L22,Karakterlap!$P$3:$Z$4,10,FALSE)-Karakterlap!$P$6),6),IF(Karakterlap!$P$4=L22,VLOOKUP(L22,Karakterlap!$P$3:$Z$4,10,FALSE),6)),IF(Karakterlap!$P$5="Váltott kaszt",IF(L22=Karakterlap!$P$3,(Karakterlap!$Y$3+3)*6,VLOOKUP(L22,Karakterlap!$P$3:$Z$4,10,FALSE)*6),IFERROR(VLOOKUP(L22,Karakterlap!$P$3:$Z$4,10,FALSE)*6,6)))</f>
        <v>6</v>
      </c>
      <c r="AI22">
        <f>IFERROR(IF(Karakterlap!$P$5="Váltott kaszt",IF(L22=Karakterlap!$P$3,Karakterlap!$P$6*20,VLOOKUP(L22,Karakterlap!$P$3:$Z$4,10,FALSE)*20),VLOOKUP(L22,Karakterlap!$P$3:$Z$4,10,FALSE)*20),20)</f>
        <v>20</v>
      </c>
      <c r="AJ22">
        <v>7</v>
      </c>
      <c r="AK22">
        <v>6</v>
      </c>
      <c r="AL22">
        <f>IFERROR(VLOOKUP(L22,Karakterlap!$P$3:$Z$4,10,FALSE)*($E$18+4),$E$18+4)</f>
        <v>10</v>
      </c>
      <c r="AN22" t="s">
        <v>108</v>
      </c>
      <c r="AO22" t="str">
        <f>IFERROR((IF(Karakterlap!$F$9&gt;10,Karakterlap!$F$9-10,0))+4+((VLOOKUP(L22,Karakterlap!$P$3:$Z$4,10,FALSE)-1)*3),"más kaszt")</f>
        <v>más kaszt</v>
      </c>
      <c r="AQ22" s="17">
        <v>35</v>
      </c>
      <c r="AR22" s="17">
        <v>25</v>
      </c>
      <c r="AS22" s="17">
        <v>25</v>
      </c>
      <c r="AT22" s="17">
        <v>35</v>
      </c>
      <c r="AU22" s="17">
        <v>35</v>
      </c>
      <c r="BA22">
        <f>IFERROR(IF(Karakterlap!$P$6&gt;13,112001+((Karakterlap!$P$6-13)*31200),112001),112001)</f>
        <v>112001</v>
      </c>
      <c r="BB22" s="40">
        <f>VLOOKUP("k6+12",$I$2:$J$11,2,FALSE)+IFERROR(VLOOKUP(Karakterlap!$V$7,$A$24:$C$33,3,FALSE),0)</f>
        <v>16</v>
      </c>
      <c r="BC22" s="40">
        <f>VLOOKUP("k10+8",$I$2:$J$11,2,FALSE)+IFERROR(VLOOKUP(Karakterlap!$V$7,$A$24:$D$33,4,FALSE),0)</f>
        <v>14</v>
      </c>
      <c r="BD22" s="40">
        <f>VLOOKUP("2k6+6",$I$2:$J$11,2,FALSE)+IFERROR(VLOOKUP(Karakterlap!$V$7,$A$24:$E$33,5,FALSE),0)</f>
        <v>13</v>
      </c>
      <c r="BE22" s="40">
        <f>VLOOKUP("2k6+6",$I$2:$J$11,2,FALSE)+IFERROR(VLOOKUP(Karakterlap!$V$7,$A$24:$F$33,6,FALSE),0)</f>
        <v>13</v>
      </c>
      <c r="BF22" s="40">
        <f>VLOOKUP("k10+10",$I$2:$J$11,2,FALSE)+IFERROR(VLOOKUP(Karakterlap!$V$7,$A$24:$G$33,7,FALSE),0)</f>
        <v>16</v>
      </c>
      <c r="BG22" s="40">
        <f>VLOOKUP("3k6(2x)",$I$2:$J$11,2,FALSE)+IFERROR(VLOOKUP(Karakterlap!$V$7,$A$24:$H$33,8,FALSE),0)</f>
        <v>11</v>
      </c>
      <c r="BH22" s="40">
        <f>VLOOKUP("3k6(2x)",$I$2:$J$11,2,FALSE)+IFERROR(VLOOKUP(Karakterlap!$V$7,$A$24:$I$33,9,FALSE),0)</f>
        <v>11</v>
      </c>
      <c r="BI22" s="40">
        <f t="shared" si="0"/>
        <v>13</v>
      </c>
      <c r="BJ22" s="40">
        <f>VLOOKUP("3k6(2x)",$I$2:$J$11,2,FALSE)+IFERROR(VLOOKUP(Karakterlap!$V$7,$A$24:$J$33,10,FALSE),0)</f>
        <v>11</v>
      </c>
      <c r="BK22" s="40">
        <f t="shared" si="1"/>
        <v>13</v>
      </c>
      <c r="BL22" s="40">
        <f>IF((SUM(Karakterlap!$F$3:$F$12)-SUM(BB22:BK22))&lt;0,0,SUM(Karakterlap!$F$3:$F$12)-SUM(BB22:BK22))</f>
        <v>0</v>
      </c>
      <c r="BM22" t="e">
        <f>IF(Karakterlap!$F$3&gt;18,IF((Karakterlap!$F$3-IF(BB22&gt;18,BB22,18))&gt;0,Karakterlap!$F$3-IF(BB22&gt;18,BB22,18),0),0)+IF(Karakterlap!$F$4&gt;18,IF((Karakterlap!$F$4-IF(BC22&gt;18,BC22,18))&gt;0,Karakterlap!$F$4-IF(BC22&gt;18,BC22,18),0),0)+IF(Karakterlap!$F$5&gt;18,IF((Karakterlap!$F$5-IF(BD22&gt;18,BD22,18))&gt;0,Karakterlap!$F$5-IF(BD22&gt;18,BD22,18),0),0)+IF(Karakterlap!$F$6&gt;18,IF((Karakterlap!$F$6-IF(BE22&gt;18,BE22,18))&gt;0,Karakterlap!$F$6-IF(BE22&gt;18,BE22,18),0),0)+IF(Karakterlap!$F$7&gt;18,IF((Karakterlap!$F$7-IF(BF22&gt;18,BF22,18))&gt;0,Karakterlap!$F$7-IF(BF22&gt;18,BF22,18),0),0)+IF(Karakterlap!$F$8&gt;18,IF((Karakterlap!$F$8-IF(BG22&gt;18,BG22,18))&gt;0,Karakterlap!$F$8-IF(BG22&gt;18,BG22,18),0),0)+IF(Karakterlap!$F$9&gt;18,IF((Karakterlap!$F$9-IF(BH22&gt;18,BH22,18))&gt;0,Karakterlap!$F$9-IF(BH22&gt;18,BH22,18),0),0)+IF(Karakterlap!$F$10&gt;18,IF((Karakterlap!$F$10-IF(BI22&gt;18,BI22,18))&gt;0,Karakterlap!$F$10-IF(BI22&gt;18,BI22,18),0),0)+IF(Karakterlap!$F$11&gt;18,IF((Karakterlap!$F$11-IF(BJ22&gt;18,BJ22,18))&gt;0,Karakterlap!$F$11-IF(BJ22&gt;18,BJ22,18),0),0)+IF(Karakterlap!$F$12&gt;18,IF((Karakterlap!$F$12-IF(BK22&gt;18,BK22,18))&gt;0,Karakterlap!$F$12-IF(BK22&gt;18,BK22,18),0),0)</f>
        <v>#VALUE!</v>
      </c>
    </row>
    <row r="23" spans="1:65" x14ac:dyDescent="0.25">
      <c r="A23" s="46"/>
      <c r="B23" s="41" t="s">
        <v>253</v>
      </c>
      <c r="C23" s="36" t="s">
        <v>240</v>
      </c>
      <c r="D23" s="36" t="s">
        <v>243</v>
      </c>
      <c r="E23" s="36" t="s">
        <v>241</v>
      </c>
      <c r="F23" s="36" t="s">
        <v>242</v>
      </c>
      <c r="G23" s="36" t="s">
        <v>244</v>
      </c>
      <c r="H23" s="36" t="s">
        <v>245</v>
      </c>
      <c r="I23" s="36" t="s">
        <v>246</v>
      </c>
      <c r="J23" s="47" t="s">
        <v>248</v>
      </c>
      <c r="L23" t="s">
        <v>212</v>
      </c>
      <c r="M23">
        <v>0</v>
      </c>
      <c r="N23">
        <v>161</v>
      </c>
      <c r="O23">
        <v>321</v>
      </c>
      <c r="P23">
        <v>641</v>
      </c>
      <c r="Q23">
        <v>1441</v>
      </c>
      <c r="R23">
        <v>2801</v>
      </c>
      <c r="S23">
        <v>5601</v>
      </c>
      <c r="T23">
        <v>10001</v>
      </c>
      <c r="U23">
        <v>20001</v>
      </c>
      <c r="V23">
        <v>40001</v>
      </c>
      <c r="W23">
        <v>60001</v>
      </c>
      <c r="X23">
        <v>80001</v>
      </c>
      <c r="Y23">
        <f>IFERROR(IF(VLOOKUP(L23,Karakterlap!$P$3:$Z$4,10,FALSE)&gt;13,112001+((VLOOKUP(L23,Karakterlap!$P$3:$Z$4,10,FALSE)-13)*31200),112001),112001)</f>
        <v>112001</v>
      </c>
      <c r="Z23">
        <v>9</v>
      </c>
      <c r="AA23">
        <v>20</v>
      </c>
      <c r="AB23">
        <v>75</v>
      </c>
      <c r="AC23">
        <v>0</v>
      </c>
      <c r="AD23">
        <f>IFERROR(VLOOKUP(L23,Karakterlap!$P$3:$Z$4,10,FALSE)*11,11)</f>
        <v>11</v>
      </c>
      <c r="AE23">
        <f>IFERROR(IF(Karakterlap!$P$5="Váltott kaszt",IF(Karakterlap!$P$3=Adattábla!$L23,Karakterlap!$Y$3*3,IF(Karakterlap!$P$4=Adattábla!$L23,(Karakterlap!$Y$4-Adattábla!$I$20)*3,3)),VLOOKUP(Adattábla!$L23,Karakterlap!$P$3:$Z$4,10,FALSE)*3),3)</f>
        <v>3</v>
      </c>
      <c r="AF23">
        <f>IFERROR(IF(Karakterlap!$P$5="Váltott kaszt",IF(Karakterlap!$P$3=Adattábla!$L23,Karakterlap!$Y$3*3,IF(Karakterlap!$P$4=Adattábla!$L23,(Karakterlap!$Y$4-Adattábla!$I$20)*3,3)),VLOOKUP(Adattábla!$L23,Karakterlap!$P$3:$Z$4,10,FALSE)*3),3)</f>
        <v>3</v>
      </c>
      <c r="AG23">
        <v>10</v>
      </c>
      <c r="AH23">
        <f>IF(Karakterlap!$P$5="Iker kaszt",IF(Karakterlap!$P$3=L23,IFERROR((Karakterlap!$P$6*14)+(VLOOKUP(L23,Karakterlap!$P$3:$Z$4,10,FALSE)-Karakterlap!$P$6),14),IF(Karakterlap!$P$4=L23,VLOOKUP(L23,Karakterlap!$P$3:$Z$4,10,FALSE),14)),IF(Karakterlap!$P$5="Váltott kaszt",IF(L23=Karakterlap!$P$3,(Karakterlap!$Y$3+3)*14,VLOOKUP(L23,Karakterlap!$P$3:$Z$4,10,FALSE)*14),IFERROR(VLOOKUP(L23,Karakterlap!$P$3:$Z$4,10,FALSE)*14,14)))</f>
        <v>14</v>
      </c>
      <c r="AI23">
        <v>0</v>
      </c>
      <c r="AJ23">
        <v>7</v>
      </c>
      <c r="AK23">
        <v>6</v>
      </c>
      <c r="AL23">
        <f>IFERROR(VLOOKUP(L23,Karakterlap!$P$3:$Z$4,10,FALSE)*($E$18+4),$E$18+4)</f>
        <v>10</v>
      </c>
      <c r="AN23" t="s">
        <v>115</v>
      </c>
      <c r="BA23">
        <f>IFERROR(IF(Karakterlap!$P$6&gt;13,112001+((Karakterlap!$P$6-13)*31200),112001),112001)</f>
        <v>112001</v>
      </c>
      <c r="BB23" s="40">
        <f>VLOOKUP("k6+12",$I$2:$J$11,2,FALSE)+IFERROR(VLOOKUP(Karakterlap!$V$7,$A$24:$C$33,3,FALSE),0)</f>
        <v>16</v>
      </c>
      <c r="BC23" s="40">
        <f>VLOOKUP("k10+8",$I$2:$J$11,2,FALSE)+IFERROR(VLOOKUP(Karakterlap!$V$7,$A$24:$D$33,4,FALSE),0)</f>
        <v>14</v>
      </c>
      <c r="BD23" s="40">
        <f>VLOOKUP("2k6+6",$I$2:$J$11,2,FALSE)+IFERROR(VLOOKUP(Karakterlap!$V$7,$A$24:$E$33,5,FALSE),0)</f>
        <v>13</v>
      </c>
      <c r="BE23" s="40">
        <f>VLOOKUP("2k6+6",$I$2:$J$11,2,FALSE)+IFERROR(VLOOKUP(Karakterlap!$V$7,$A$24:$F$33,6,FALSE),0)</f>
        <v>13</v>
      </c>
      <c r="BF23" s="40">
        <f>VLOOKUP("k10+10",$I$2:$J$11,2,FALSE)+IFERROR(VLOOKUP(Karakterlap!$V$7,$A$24:$G$33,7,FALSE),0)</f>
        <v>16</v>
      </c>
      <c r="BG23" s="40">
        <f>VLOOKUP("3k6(2x)",$I$2:$J$11,2,FALSE)+IFERROR(VLOOKUP(Karakterlap!$V$7,$A$24:$H$33,8,FALSE),0)</f>
        <v>11</v>
      </c>
      <c r="BH23" s="40">
        <f>VLOOKUP("3k6(2x)",$I$2:$J$11,2,FALSE)+IFERROR(VLOOKUP(Karakterlap!$V$7,$A$24:$I$33,9,FALSE),0)</f>
        <v>11</v>
      </c>
      <c r="BI23" s="40">
        <f t="shared" si="0"/>
        <v>13</v>
      </c>
      <c r="BJ23" s="40">
        <f>VLOOKUP("3k6(2x)",$I$2:$J$11,2,FALSE)+IFERROR(VLOOKUP(Karakterlap!$V$7,$A$24:$J$33,10,FALSE),0)</f>
        <v>11</v>
      </c>
      <c r="BK23" s="40">
        <f t="shared" si="1"/>
        <v>13</v>
      </c>
      <c r="BL23" s="40">
        <f>IF((SUM(Karakterlap!$F$3:$F$12)-SUM(BB23:BK23))&lt;0,0,SUM(Karakterlap!$F$3:$F$12)-SUM(BB23:BK23))</f>
        <v>0</v>
      </c>
      <c r="BM23" t="e">
        <f>IF(Karakterlap!$F$3&gt;18,IF((Karakterlap!$F$3-IF(BB23&gt;18,BB23,18))&gt;0,Karakterlap!$F$3-IF(BB23&gt;18,BB23,18),0),0)+IF(Karakterlap!$F$4&gt;18,IF((Karakterlap!$F$4-IF(BC23&gt;18,BC23,18))&gt;0,Karakterlap!$F$4-IF(BC23&gt;18,BC23,18),0),0)+IF(Karakterlap!$F$5&gt;18,IF((Karakterlap!$F$5-IF(BD23&gt;18,BD23,18))&gt;0,Karakterlap!$F$5-IF(BD23&gt;18,BD23,18),0),0)+IF(Karakterlap!$F$6&gt;18,IF((Karakterlap!$F$6-IF(BE23&gt;18,BE23,18))&gt;0,Karakterlap!$F$6-IF(BE23&gt;18,BE23,18),0),0)+IF(Karakterlap!$F$7&gt;18,IF((Karakterlap!$F$7-IF(BF23&gt;18,BF23,18))&gt;0,Karakterlap!$F$7-IF(BF23&gt;18,BF23,18),0),0)+IF(Karakterlap!$F$8&gt;18,IF((Karakterlap!$F$8-IF(BG23&gt;18,BG23,18))&gt;0,Karakterlap!$F$8-IF(BG23&gt;18,BG23,18),0),0)+IF(Karakterlap!$F$9&gt;18,IF((Karakterlap!$F$9-IF(BH23&gt;18,BH23,18))&gt;0,Karakterlap!$F$9-IF(BH23&gt;18,BH23,18),0),0)+IF(Karakterlap!$F$10&gt;18,IF((Karakterlap!$F$10-IF(BI23&gt;18,BI23,18))&gt;0,Karakterlap!$F$10-IF(BI23&gt;18,BI23,18),0),0)+IF(Karakterlap!$F$11&gt;18,IF((Karakterlap!$F$11-IF(BJ23&gt;18,BJ23,18))&gt;0,Karakterlap!$F$11-IF(BJ23&gt;18,BJ23,18),0),0)+IF(Karakterlap!$F$12&gt;18,IF((Karakterlap!$F$12-IF(BK23&gt;18,BK23,18))&gt;0,Karakterlap!$F$12-IF(BK23&gt;18,BK23,18),0),0)</f>
        <v>#VALUE!</v>
      </c>
    </row>
    <row r="24" spans="1:65" x14ac:dyDescent="0.25">
      <c r="A24" s="46" t="s">
        <v>34</v>
      </c>
      <c r="B24" s="6">
        <v>0</v>
      </c>
      <c r="C24" s="1"/>
      <c r="D24" s="1"/>
      <c r="E24" s="1"/>
      <c r="F24" s="1"/>
      <c r="G24" s="1"/>
      <c r="H24" s="1"/>
      <c r="I24" s="1"/>
      <c r="J24" s="48"/>
      <c r="L24" t="s">
        <v>213</v>
      </c>
      <c r="M24">
        <v>0</v>
      </c>
      <c r="N24">
        <v>161</v>
      </c>
      <c r="O24">
        <v>321</v>
      </c>
      <c r="P24">
        <v>641</v>
      </c>
      <c r="Q24">
        <v>1441</v>
      </c>
      <c r="R24">
        <v>2801</v>
      </c>
      <c r="S24">
        <v>5601</v>
      </c>
      <c r="T24">
        <v>10001</v>
      </c>
      <c r="U24">
        <v>20001</v>
      </c>
      <c r="V24">
        <v>40001</v>
      </c>
      <c r="W24">
        <v>60001</v>
      </c>
      <c r="X24">
        <v>80001</v>
      </c>
      <c r="Y24">
        <f>IFERROR(IF(VLOOKUP(L24,Karakterlap!$P$3:$Z$4,10,FALSE)&gt;13,112001+((VLOOKUP(L24,Karakterlap!$P$3:$Z$4,10,FALSE)-13)*31200),112001),112001)</f>
        <v>112001</v>
      </c>
      <c r="Z24">
        <v>9</v>
      </c>
      <c r="AA24">
        <v>17</v>
      </c>
      <c r="AB24">
        <v>67</v>
      </c>
      <c r="AC24">
        <v>15</v>
      </c>
      <c r="AD24">
        <f>IFERROR(VLOOKUP(L24,Karakterlap!$P$3:$Z$4,10,FALSE)*11,11)</f>
        <v>11</v>
      </c>
      <c r="AE24">
        <f>IFERROR(IF(Karakterlap!$P$5="Váltott kaszt",IF(Karakterlap!$P$3=Adattábla!$L24,Karakterlap!$Y$3*3,IF(Karakterlap!$P$4=Adattábla!$L24,(Karakterlap!$Y$4-Adattábla!$I$20)*3,3)),VLOOKUP(Adattábla!$L24,Karakterlap!$P$3:$Z$4,10,FALSE)*3),3)</f>
        <v>3</v>
      </c>
      <c r="AF24">
        <f>IFERROR(IF(Karakterlap!$P$5="Váltott kaszt",IF(Karakterlap!$P$3=Adattábla!$L24,Karakterlap!$Y$3*3,IF(Karakterlap!$P$4=Adattábla!$L24,(Karakterlap!$Y$4-Adattábla!$I$20)*3,3)),VLOOKUP(Adattábla!$L24,Karakterlap!$P$3:$Z$4,10,FALSE)*3),3)</f>
        <v>3</v>
      </c>
      <c r="AG24">
        <v>10</v>
      </c>
      <c r="AH24">
        <f>IF(Karakterlap!$P$5="Iker kaszt",IF(Karakterlap!$P$3=L24,IFERROR((Karakterlap!$P$6*14)+(VLOOKUP(L24,Karakterlap!$P$3:$Z$4,10,FALSE)-Karakterlap!$P$6),14),IF(Karakterlap!$P$4=L24,VLOOKUP(L24,Karakterlap!$P$3:$Z$4,10,FALSE),14)),IF(Karakterlap!$P$5="Váltott kaszt",IF(L24=Karakterlap!$P$3,(Karakterlap!$Y$3+3)*14,VLOOKUP(L24,Karakterlap!$P$3:$Z$4,10,FALSE)*14),IFERROR(VLOOKUP(L24,Karakterlap!$P$3:$Z$4,10,FALSE)*14,14)))</f>
        <v>14</v>
      </c>
      <c r="AI24">
        <v>0</v>
      </c>
      <c r="AJ24">
        <v>7</v>
      </c>
      <c r="AK24">
        <v>6</v>
      </c>
      <c r="AL24">
        <f>IFERROR(VLOOKUP(L24,Karakterlap!$P$3:$Z$4,10,FALSE)*($E$18+4),$E$18+4)</f>
        <v>10</v>
      </c>
      <c r="AN24" t="s">
        <v>115</v>
      </c>
      <c r="AQ24" s="17">
        <v>15</v>
      </c>
      <c r="AR24" s="17">
        <v>20</v>
      </c>
      <c r="AS24" s="17">
        <v>10</v>
      </c>
      <c r="BA24">
        <f>IFERROR(IF(Karakterlap!$P$6&gt;13,112001+((Karakterlap!$P$6-13)*31200),112001),112001)</f>
        <v>112001</v>
      </c>
      <c r="BB24" s="40">
        <f>VLOOKUP("k6+12",$I$2:$J$11,2,FALSE)+IFERROR(VLOOKUP(Karakterlap!$V$7,$A$24:$C$33,3,FALSE),0)</f>
        <v>16</v>
      </c>
      <c r="BC24" s="40">
        <f>VLOOKUP("k10+8",$I$2:$J$11,2,FALSE)+IFERROR(VLOOKUP(Karakterlap!$V$7,$A$24:$D$33,4,FALSE),0)</f>
        <v>14</v>
      </c>
      <c r="BD24" s="40">
        <f>VLOOKUP("2k6+6",$I$2:$J$11,2,FALSE)+IFERROR(VLOOKUP(Karakterlap!$V$7,$A$24:$E$33,5,FALSE),0)</f>
        <v>13</v>
      </c>
      <c r="BE24" s="40">
        <f>VLOOKUP("2k6+6",$I$2:$J$11,2,FALSE)+IFERROR(VLOOKUP(Karakterlap!$V$7,$A$24:$F$33,6,FALSE),0)</f>
        <v>13</v>
      </c>
      <c r="BF24" s="40">
        <f>VLOOKUP("k10+10",$I$2:$J$11,2,FALSE)+IFERROR(VLOOKUP(Karakterlap!$V$7,$A$24:$G$33,7,FALSE),0)</f>
        <v>16</v>
      </c>
      <c r="BG24" s="40">
        <f>VLOOKUP("3k6(2x)",$I$2:$J$11,2,FALSE)+IFERROR(VLOOKUP(Karakterlap!$V$7,$A$24:$H$33,8,FALSE),0)</f>
        <v>11</v>
      </c>
      <c r="BH24" s="40">
        <f>VLOOKUP("3k6(2x)",$I$2:$J$11,2,FALSE)+IFERROR(VLOOKUP(Karakterlap!$V$7,$A$24:$I$33,9,FALSE),0)</f>
        <v>11</v>
      </c>
      <c r="BI24" s="40">
        <f t="shared" si="0"/>
        <v>13</v>
      </c>
      <c r="BJ24" s="40">
        <f>VLOOKUP("3k6(2x)",$I$2:$J$11,2,FALSE)+IFERROR(VLOOKUP(Karakterlap!$V$7,$A$24:$J$33,10,FALSE),0)</f>
        <v>11</v>
      </c>
      <c r="BK24" s="40">
        <f t="shared" si="1"/>
        <v>13</v>
      </c>
      <c r="BL24" s="40">
        <f>IF((SUM(Karakterlap!$F$3:$F$12)-SUM(BB24:BK24))&lt;0,0,SUM(Karakterlap!$F$3:$F$12)-SUM(BB24:BK24))</f>
        <v>0</v>
      </c>
      <c r="BM24" t="e">
        <f>IF(Karakterlap!$F$3&gt;18,IF((Karakterlap!$F$3-IF(BB24&gt;18,BB24,18))&gt;0,Karakterlap!$F$3-IF(BB24&gt;18,BB24,18),0),0)+IF(Karakterlap!$F$4&gt;18,IF((Karakterlap!$F$4-IF(BC24&gt;18,BC24,18))&gt;0,Karakterlap!$F$4-IF(BC24&gt;18,BC24,18),0),0)+IF(Karakterlap!$F$5&gt;18,IF((Karakterlap!$F$5-IF(BD24&gt;18,BD24,18))&gt;0,Karakterlap!$F$5-IF(BD24&gt;18,BD24,18),0),0)+IF(Karakterlap!$F$6&gt;18,IF((Karakterlap!$F$6-IF(BE24&gt;18,BE24,18))&gt;0,Karakterlap!$F$6-IF(BE24&gt;18,BE24,18),0),0)+IF(Karakterlap!$F$7&gt;18,IF((Karakterlap!$F$7-IF(BF24&gt;18,BF24,18))&gt;0,Karakterlap!$F$7-IF(BF24&gt;18,BF24,18),0),0)+IF(Karakterlap!$F$8&gt;18,IF((Karakterlap!$F$8-IF(BG24&gt;18,BG24,18))&gt;0,Karakterlap!$F$8-IF(BG24&gt;18,BG24,18),0),0)+IF(Karakterlap!$F$9&gt;18,IF((Karakterlap!$F$9-IF(BH24&gt;18,BH24,18))&gt;0,Karakterlap!$F$9-IF(BH24&gt;18,BH24,18),0),0)+IF(Karakterlap!$F$10&gt;18,IF((Karakterlap!$F$10-IF(BI24&gt;18,BI24,18))&gt;0,Karakterlap!$F$10-IF(BI24&gt;18,BI24,18),0),0)+IF(Karakterlap!$F$11&gt;18,IF((Karakterlap!$F$11-IF(BJ24&gt;18,BJ24,18))&gt;0,Karakterlap!$F$11-IF(BJ24&gt;18,BJ24,18),0),0)+IF(Karakterlap!$F$12&gt;18,IF((Karakterlap!$F$12-IF(BK24&gt;18,BK24,18))&gt;0,Karakterlap!$F$12-IF(BK24&gt;18,BK24,18),0),0)</f>
        <v>#VALUE!</v>
      </c>
    </row>
    <row r="25" spans="1:65" x14ac:dyDescent="0.25">
      <c r="A25" s="46" t="s">
        <v>35</v>
      </c>
      <c r="B25" s="6">
        <v>400</v>
      </c>
      <c r="C25" s="1">
        <v>-1</v>
      </c>
      <c r="D25" s="1"/>
      <c r="E25" s="1">
        <v>1</v>
      </c>
      <c r="F25" s="1"/>
      <c r="G25" s="1"/>
      <c r="H25" s="1"/>
      <c r="I25" s="1"/>
      <c r="J25" s="48"/>
      <c r="L25" t="s">
        <v>214</v>
      </c>
      <c r="M25">
        <v>0</v>
      </c>
      <c r="N25">
        <v>161</v>
      </c>
      <c r="O25">
        <v>321</v>
      </c>
      <c r="P25">
        <v>641</v>
      </c>
      <c r="Q25">
        <v>1441</v>
      </c>
      <c r="R25">
        <v>2801</v>
      </c>
      <c r="S25">
        <v>5601</v>
      </c>
      <c r="T25">
        <v>10001</v>
      </c>
      <c r="U25">
        <v>20001</v>
      </c>
      <c r="V25">
        <v>40001</v>
      </c>
      <c r="W25">
        <v>60001</v>
      </c>
      <c r="X25">
        <v>80001</v>
      </c>
      <c r="Y25">
        <f>IFERROR(IF(VLOOKUP(L25,Karakterlap!$P$3:$Z$4,10,FALSE)&gt;13,112001+((VLOOKUP(L25,Karakterlap!$P$3:$Z$4,10,FALSE)-13)*31200),112001),112001)</f>
        <v>112001</v>
      </c>
      <c r="Z25">
        <v>9</v>
      </c>
      <c r="AA25">
        <v>20</v>
      </c>
      <c r="AB25">
        <v>75</v>
      </c>
      <c r="AC25">
        <v>0</v>
      </c>
      <c r="AD25">
        <f>IFERROR(VLOOKUP(L25,Karakterlap!$P$3:$Z$4,10,FALSE)*11,11)</f>
        <v>11</v>
      </c>
      <c r="AE25">
        <f>IFERROR(IF(Karakterlap!$P$5="Váltott kaszt",IF(Karakterlap!$P$3=Adattábla!$L25,Karakterlap!$Y$3*3,IF(Karakterlap!$P$4=Adattábla!$L25,(Karakterlap!$Y$4-Adattábla!$I$20)*3,3)),VLOOKUP(Adattábla!$L25,Karakterlap!$P$3:$Z$4,10,FALSE)*3),3)</f>
        <v>3</v>
      </c>
      <c r="AF25">
        <f>IFERROR(IF(Karakterlap!$P$5="Váltott kaszt",IF(Karakterlap!$P$3=Adattábla!$L25,Karakterlap!$Y$3*3,IF(Karakterlap!$P$4=Adattábla!$L25,(Karakterlap!$Y$4-Adattábla!$I$20)*3,3)),VLOOKUP(Adattábla!$L25,Karakterlap!$P$3:$Z$4,10,FALSE)*3),3)</f>
        <v>3</v>
      </c>
      <c r="AG25">
        <v>8</v>
      </c>
      <c r="AH25">
        <f>IF(Karakterlap!$P$5="Iker kaszt",IF(Karakterlap!$P$3=L25,IFERROR((Karakterlap!$P$6*10)+(VLOOKUP(L25,Karakterlap!$P$3:$Z$4,10,FALSE)-Karakterlap!$P$6),10),IF(Karakterlap!$P$4=L25,VLOOKUP(L25,Karakterlap!$P$3:$Z$4,10,FALSE),10)),IF(Karakterlap!$P$5="Váltott kaszt",IF(L25=Karakterlap!$P$3,(Karakterlap!$Y$3+3)*10,VLOOKUP(L25,Karakterlap!$P$3:$Z$4,10,FALSE)*10),IFERROR(VLOOKUP(L25,Karakterlap!$P$3:$Z$4,10,FALSE)*10,10)))</f>
        <v>10</v>
      </c>
      <c r="AI25">
        <v>0</v>
      </c>
      <c r="AJ25">
        <v>7</v>
      </c>
      <c r="AK25">
        <v>7</v>
      </c>
      <c r="AL25">
        <f>IFERROR(VLOOKUP(L25,Karakterlap!$P$3:$Z$4,10,FALSE)*($E$18+5),$E$18+5)</f>
        <v>11</v>
      </c>
      <c r="AN25" t="s">
        <v>115</v>
      </c>
      <c r="AQ25" s="17">
        <v>15</v>
      </c>
      <c r="AS25" s="17">
        <v>10</v>
      </c>
      <c r="AV25" s="17">
        <v>10</v>
      </c>
      <c r="BA25">
        <f>IFERROR(IF(Karakterlap!$P$6&gt;13,112001+((Karakterlap!$P$6-13)*31200),112001),112001)</f>
        <v>112001</v>
      </c>
      <c r="BB25" s="40">
        <f>VLOOKUP("k6+12",$I$2:$J$11,2,FALSE)+IFERROR(VLOOKUP(Karakterlap!$V$7,$A$24:$C$33,3,FALSE),0)</f>
        <v>16</v>
      </c>
      <c r="BC25" s="40">
        <f>VLOOKUP("k10+8",$I$2:$J$11,2,FALSE)+IFERROR(VLOOKUP(Karakterlap!$V$7,$A$24:$D$33,4,FALSE),0)</f>
        <v>14</v>
      </c>
      <c r="BD25" s="40">
        <f>VLOOKUP("2k6+6",$I$2:$J$11,2,FALSE)+IFERROR(VLOOKUP(Karakterlap!$V$7,$A$24:$E$33,5,FALSE),0)</f>
        <v>13</v>
      </c>
      <c r="BE25" s="40">
        <f>VLOOKUP("2k6+6",$I$2:$J$11,2,FALSE)+IFERROR(VLOOKUP(Karakterlap!$V$7,$A$24:$F$33,6,FALSE),0)</f>
        <v>13</v>
      </c>
      <c r="BF25" s="40">
        <f>VLOOKUP("k10+10",$I$2:$J$11,2,FALSE)+IFERROR(VLOOKUP(Karakterlap!$V$7,$A$24:$G$33,7,FALSE),0)</f>
        <v>16</v>
      </c>
      <c r="BG25" s="40">
        <f>VLOOKUP("3k6(2x)",$I$2:$J$11,2,FALSE)+IFERROR(VLOOKUP(Karakterlap!$V$7,$A$24:$H$33,8,FALSE),0)</f>
        <v>11</v>
      </c>
      <c r="BH25" s="40">
        <f>VLOOKUP("3k6(2x)",$I$2:$J$11,2,FALSE)+IFERROR(VLOOKUP(Karakterlap!$V$7,$A$24:$I$33,9,FALSE),0)</f>
        <v>11</v>
      </c>
      <c r="BI25" s="40">
        <f t="shared" si="0"/>
        <v>13</v>
      </c>
      <c r="BJ25" s="40">
        <f>VLOOKUP("3k6(2x)",$I$2:$J$11,2,FALSE)+IFERROR(VLOOKUP(Karakterlap!$V$7,$A$24:$J$33,10,FALSE),0)</f>
        <v>11</v>
      </c>
      <c r="BK25" s="40">
        <f t="shared" si="1"/>
        <v>13</v>
      </c>
      <c r="BL25" s="40">
        <f>IF((SUM(Karakterlap!$F$3:$F$12)-SUM(BB25:BK25))&lt;0,0,SUM(Karakterlap!$F$3:$F$12)-SUM(BB25:BK25))</f>
        <v>0</v>
      </c>
      <c r="BM25" t="e">
        <f>IF(Karakterlap!$F$3&gt;18,IF((Karakterlap!$F$3-IF(BB25&gt;18,BB25,18))&gt;0,Karakterlap!$F$3-IF(BB25&gt;18,BB25,18),0),0)+IF(Karakterlap!$F$4&gt;18,IF((Karakterlap!$F$4-IF(BC25&gt;18,BC25,18))&gt;0,Karakterlap!$F$4-IF(BC25&gt;18,BC25,18),0),0)+IF(Karakterlap!$F$5&gt;18,IF((Karakterlap!$F$5-IF(BD25&gt;18,BD25,18))&gt;0,Karakterlap!$F$5-IF(BD25&gt;18,BD25,18),0),0)+IF(Karakterlap!$F$6&gt;18,IF((Karakterlap!$F$6-IF(BE25&gt;18,BE25,18))&gt;0,Karakterlap!$F$6-IF(BE25&gt;18,BE25,18),0),0)+IF(Karakterlap!$F$7&gt;18,IF((Karakterlap!$F$7-IF(BF25&gt;18,BF25,18))&gt;0,Karakterlap!$F$7-IF(BF25&gt;18,BF25,18),0),0)+IF(Karakterlap!$F$8&gt;18,IF((Karakterlap!$F$8-IF(BG25&gt;18,BG25,18))&gt;0,Karakterlap!$F$8-IF(BG25&gt;18,BG25,18),0),0)+IF(Karakterlap!$F$9&gt;18,IF((Karakterlap!$F$9-IF(BH25&gt;18,BH25,18))&gt;0,Karakterlap!$F$9-IF(BH25&gt;18,BH25,18),0),0)+IF(Karakterlap!$F$10&gt;18,IF((Karakterlap!$F$10-IF(BI25&gt;18,BI25,18))&gt;0,Karakterlap!$F$10-IF(BI25&gt;18,BI25,18),0),0)+IF(Karakterlap!$F$11&gt;18,IF((Karakterlap!$F$11-IF(BJ25&gt;18,BJ25,18))&gt;0,Karakterlap!$F$11-IF(BJ25&gt;18,BJ25,18),0),0)+IF(Karakterlap!$F$12&gt;18,IF((Karakterlap!$F$12-IF(BK25&gt;18,BK25,18))&gt;0,Karakterlap!$F$12-IF(BK25&gt;18,BK25,18),0),0)</f>
        <v>#VALUE!</v>
      </c>
    </row>
    <row r="26" spans="1:65" x14ac:dyDescent="0.25">
      <c r="A26" s="46" t="s">
        <v>37</v>
      </c>
      <c r="B26" s="6">
        <v>400</v>
      </c>
      <c r="C26" s="1">
        <v>2</v>
      </c>
      <c r="D26" s="1">
        <v>1</v>
      </c>
      <c r="E26" s="1"/>
      <c r="F26" s="1"/>
      <c r="G26" s="1">
        <v>2</v>
      </c>
      <c r="H26" s="1">
        <v>-3</v>
      </c>
      <c r="I26" s="1">
        <v>-1</v>
      </c>
      <c r="J26" s="48">
        <v>-3</v>
      </c>
      <c r="L26" t="s">
        <v>215</v>
      </c>
      <c r="M26">
        <v>0</v>
      </c>
      <c r="N26">
        <v>161</v>
      </c>
      <c r="O26">
        <v>321</v>
      </c>
      <c r="P26">
        <v>641</v>
      </c>
      <c r="Q26">
        <v>1441</v>
      </c>
      <c r="R26">
        <v>2801</v>
      </c>
      <c r="S26">
        <v>5601</v>
      </c>
      <c r="T26">
        <v>10001</v>
      </c>
      <c r="U26">
        <v>20001</v>
      </c>
      <c r="V26">
        <v>40001</v>
      </c>
      <c r="W26">
        <v>60001</v>
      </c>
      <c r="X26">
        <v>80001</v>
      </c>
      <c r="Y26">
        <f>IFERROR(IF(VLOOKUP(L26,Karakterlap!$P$3:$Z$4,10,FALSE)&gt;13,112001+((VLOOKUP(L26,Karakterlap!$P$3:$Z$4,10,FALSE)-13)*31200),112001),112001)</f>
        <v>112001</v>
      </c>
      <c r="Z26">
        <v>9</v>
      </c>
      <c r="AA26">
        <f>IFERROR(VLOOKUP(L26,Karakterlap!$P$3:$Z$4,10,FALSE)+20,20)</f>
        <v>20</v>
      </c>
      <c r="AB26">
        <v>75</v>
      </c>
      <c r="AC26">
        <v>0</v>
      </c>
      <c r="AD26">
        <f>IFERROR(VLOOKUP(L26,Karakterlap!$P$3:$Z$4,10,FALSE)*11,11)</f>
        <v>11</v>
      </c>
      <c r="AE26">
        <f>IFERROR(IF(Karakterlap!$P$5="Váltott kaszt",IF(Karakterlap!$P$3=Adattábla!$L26,Karakterlap!$Y$3*3,IF(Karakterlap!$P$4=Adattábla!$L26,(Karakterlap!$Y$4-Adattábla!$I$20)*3,3)),VLOOKUP(Adattábla!$L26,Karakterlap!$P$3:$Z$4,10,FALSE)*3),3)</f>
        <v>3</v>
      </c>
      <c r="AF26">
        <f>IFERROR(IF(Karakterlap!$P$5="Váltott kaszt",IF(Karakterlap!$P$3=Adattábla!$L26,Karakterlap!$Y$3*3,IF(Karakterlap!$P$4=Adattábla!$L26,(Karakterlap!$Y$4-Adattábla!$I$20)*3,3)),VLOOKUP(Adattábla!$L26,Karakterlap!$P$3:$Z$4,10,FALSE)*3),3)</f>
        <v>3</v>
      </c>
      <c r="AG26">
        <v>6</v>
      </c>
      <c r="AH26">
        <f>IF(Karakterlap!$P$5="Iker kaszt",IF(Karakterlap!$P$3=L26,IFERROR((Karakterlap!$P$6*5)+(VLOOKUP(L26,Karakterlap!$P$3:$Z$4,10,FALSE)-Karakterlap!$P$6),5),IF(Karakterlap!$P$4=L26,VLOOKUP(L26,Karakterlap!$P$3:$Z$4,10,FALSE),5)),IF(Karakterlap!$P$5="Váltott kaszt",IF(L26=Karakterlap!$P$3,(Karakterlap!$Y$3+3)*5,VLOOKUP(L26,Karakterlap!$P$3:$Z$4,10,FALSE)*5),IFERROR(VLOOKUP(L26,Karakterlap!$P$3:$Z$4,10,FALSE)*5,5)))</f>
        <v>5</v>
      </c>
      <c r="AI26">
        <v>0</v>
      </c>
      <c r="AJ26">
        <v>7</v>
      </c>
      <c r="AK26">
        <v>7</v>
      </c>
      <c r="AL26">
        <f>IFERROR(VLOOKUP(L26,Karakterlap!$P$3:$Z$4,10,FALSE)*($E$18+5),$E$18+5)</f>
        <v>11</v>
      </c>
      <c r="AN26" t="s">
        <v>115</v>
      </c>
      <c r="AQ26" s="17">
        <v>15</v>
      </c>
      <c r="AR26" s="17">
        <v>20</v>
      </c>
      <c r="AS26" s="17">
        <v>10</v>
      </c>
      <c r="BA26">
        <f>IFERROR(IF(Karakterlap!$P$6&gt;13,112001+((Karakterlap!$P$6-13)*31200),112001),112001)</f>
        <v>112001</v>
      </c>
      <c r="BB26" s="40">
        <f>VLOOKUP("k6+12",$I$2:$J$11,2,FALSE)+IFERROR(VLOOKUP(Karakterlap!$V$7,$A$24:$C$33,3,FALSE),0)</f>
        <v>16</v>
      </c>
      <c r="BC26" s="40">
        <f>VLOOKUP("k10+8",$I$2:$J$11,2,FALSE)+IFERROR(VLOOKUP(Karakterlap!$V$7,$A$24:$D$33,4,FALSE),0)</f>
        <v>14</v>
      </c>
      <c r="BD26" s="40">
        <f>VLOOKUP("2k6+6",$I$2:$J$11,2,FALSE)+IFERROR(VLOOKUP(Karakterlap!$V$7,$A$24:$E$33,5,FALSE),0)</f>
        <v>13</v>
      </c>
      <c r="BE26" s="40">
        <f>VLOOKUP("2k6+6",$I$2:$J$11,2,FALSE)+IFERROR(VLOOKUP(Karakterlap!$V$7,$A$24:$F$33,6,FALSE),0)</f>
        <v>13</v>
      </c>
      <c r="BF26" s="40">
        <f>VLOOKUP("k10+10",$I$2:$J$11,2,FALSE)+IFERROR(VLOOKUP(Karakterlap!$V$7,$A$24:$G$33,7,FALSE),0)</f>
        <v>16</v>
      </c>
      <c r="BG26" s="40">
        <f>VLOOKUP("3k6(2x)",$I$2:$J$11,2,FALSE)+IFERROR(VLOOKUP(Karakterlap!$V$7,$A$24:$H$33,8,FALSE),0)</f>
        <v>11</v>
      </c>
      <c r="BH26" s="40">
        <f>VLOOKUP("3k6(2x)",$I$2:$J$11,2,FALSE)+IFERROR(VLOOKUP(Karakterlap!$V$7,$A$24:$I$33,9,FALSE),0)</f>
        <v>11</v>
      </c>
      <c r="BI26" s="40">
        <f t="shared" si="0"/>
        <v>13</v>
      </c>
      <c r="BJ26" s="40">
        <f>VLOOKUP("3k6(2x)",$I$2:$J$11,2,FALSE)+IFERROR(VLOOKUP(Karakterlap!$V$7,$A$24:$J$33,10,FALSE),0)</f>
        <v>11</v>
      </c>
      <c r="BK26" s="40">
        <f t="shared" si="1"/>
        <v>13</v>
      </c>
      <c r="BL26" s="40">
        <f>IF((SUM(Karakterlap!$F$3:$F$12)-SUM(BB26:BK26))&lt;0,0,SUM(Karakterlap!$F$3:$F$12)-SUM(BB26:BK26))</f>
        <v>0</v>
      </c>
      <c r="BM26" t="e">
        <f>IF(Karakterlap!$F$3&gt;18,IF((Karakterlap!$F$3-IF(BB26&gt;18,BB26,18))&gt;0,Karakterlap!$F$3-IF(BB26&gt;18,BB26,18),0),0)+IF(Karakterlap!$F$4&gt;18,IF((Karakterlap!$F$4-IF(BC26&gt;18,BC26,18))&gt;0,Karakterlap!$F$4-IF(BC26&gt;18,BC26,18),0),0)+IF(Karakterlap!$F$5&gt;18,IF((Karakterlap!$F$5-IF(BD26&gt;18,BD26,18))&gt;0,Karakterlap!$F$5-IF(BD26&gt;18,BD26,18),0),0)+IF(Karakterlap!$F$6&gt;18,IF((Karakterlap!$F$6-IF(BE26&gt;18,BE26,18))&gt;0,Karakterlap!$F$6-IF(BE26&gt;18,BE26,18),0),0)+IF(Karakterlap!$F$7&gt;18,IF((Karakterlap!$F$7-IF(BF26&gt;18,BF26,18))&gt;0,Karakterlap!$F$7-IF(BF26&gt;18,BF26,18),0),0)+IF(Karakterlap!$F$8&gt;18,IF((Karakterlap!$F$8-IF(BG26&gt;18,BG26,18))&gt;0,Karakterlap!$F$8-IF(BG26&gt;18,BG26,18),0),0)+IF(Karakterlap!$F$9&gt;18,IF((Karakterlap!$F$9-IF(BH26&gt;18,BH26,18))&gt;0,Karakterlap!$F$9-IF(BH26&gt;18,BH26,18),0),0)+IF(Karakterlap!$F$10&gt;18,IF((Karakterlap!$F$10-IF(BI26&gt;18,BI26,18))&gt;0,Karakterlap!$F$10-IF(BI26&gt;18,BI26,18),0),0)+IF(Karakterlap!$F$11&gt;18,IF((Karakterlap!$F$11-IF(BJ26&gt;18,BJ26,18))&gt;0,Karakterlap!$F$11-IF(BJ26&gt;18,BJ26,18),0),0)+IF(Karakterlap!$F$12&gt;18,IF((Karakterlap!$F$12-IF(BK26&gt;18,BK26,18))&gt;0,Karakterlap!$F$12-IF(BK26&gt;18,BK26,18),0),0)</f>
        <v>#VALUE!</v>
      </c>
    </row>
    <row r="27" spans="1:65" x14ac:dyDescent="0.25">
      <c r="A27" s="46" t="s">
        <v>38</v>
      </c>
      <c r="B27" s="6">
        <v>400</v>
      </c>
      <c r="C27" s="1">
        <v>1</v>
      </c>
      <c r="D27" s="1">
        <v>1</v>
      </c>
      <c r="E27" s="1"/>
      <c r="F27" s="1"/>
      <c r="G27" s="1">
        <v>1</v>
      </c>
      <c r="H27" s="1">
        <v>-2</v>
      </c>
      <c r="I27" s="1">
        <v>-1</v>
      </c>
      <c r="J27" s="48">
        <v>-1</v>
      </c>
      <c r="L27" t="s">
        <v>216</v>
      </c>
      <c r="M27">
        <v>0</v>
      </c>
      <c r="N27">
        <v>161</v>
      </c>
      <c r="O27">
        <v>321</v>
      </c>
      <c r="P27">
        <v>641</v>
      </c>
      <c r="Q27">
        <v>1441</v>
      </c>
      <c r="R27">
        <v>2801</v>
      </c>
      <c r="S27">
        <v>5601</v>
      </c>
      <c r="T27">
        <v>10001</v>
      </c>
      <c r="U27">
        <v>20001</v>
      </c>
      <c r="V27">
        <v>40001</v>
      </c>
      <c r="W27">
        <v>60001</v>
      </c>
      <c r="X27">
        <v>80001</v>
      </c>
      <c r="Y27">
        <f>IFERROR(IF(VLOOKUP(L27,Karakterlap!$P$3:$Z$4,10,FALSE)&gt;13,112001+((VLOOKUP(L27,Karakterlap!$P$3:$Z$4,10,FALSE)-13)*31200),112001),112001)</f>
        <v>112001</v>
      </c>
      <c r="Z27">
        <v>9</v>
      </c>
      <c r="AA27">
        <v>20</v>
      </c>
      <c r="AB27">
        <v>75</v>
      </c>
      <c r="AC27">
        <v>0</v>
      </c>
      <c r="AD27">
        <f>IFERROR(VLOOKUP(L27,Karakterlap!$P$3:$Z$4,10,FALSE)*11,11)</f>
        <v>11</v>
      </c>
      <c r="AE27">
        <f>IFERROR(IF(Karakterlap!$P$5="Váltott kaszt",IF(Karakterlap!$P$3=Adattábla!$L27,Karakterlap!$Y$3*3,IF(Karakterlap!$P$4=Adattábla!$L27,(Karakterlap!$Y$4-Adattábla!$I$20)*3,3)),VLOOKUP(Adattábla!$L27,Karakterlap!$P$3:$Z$4,10,FALSE)*3),3)</f>
        <v>3</v>
      </c>
      <c r="AF27">
        <f>IFERROR(IF(Karakterlap!$P$5="Váltott kaszt",IF(Karakterlap!$P$3=Adattábla!$L27,Karakterlap!$Y$3*3,IF(Karakterlap!$P$4=Adattábla!$L27,(Karakterlap!$Y$4-Adattábla!$I$20)*3,3)),VLOOKUP(Adattábla!$L27,Karakterlap!$P$3:$Z$4,10,FALSE)*3),3)</f>
        <v>3</v>
      </c>
      <c r="AG27">
        <v>10</v>
      </c>
      <c r="AH27">
        <f>IF(Karakterlap!$P$5="Iker kaszt",IF(Karakterlap!$P$3=L27,IFERROR((Karakterlap!$P$6*14)+(VLOOKUP(L27,Karakterlap!$P$3:$Z$4,10,FALSE)-Karakterlap!$P$6),14),IF(Karakterlap!$P$4=L27,VLOOKUP(L27,Karakterlap!$P$3:$Z$4,10,FALSE),14)),IF(Karakterlap!$P$5="Váltott kaszt",IF(L27=Karakterlap!$P$3,(Karakterlap!$Y$3+3)*14,VLOOKUP(L27,Karakterlap!$P$3:$Z$4,10,FALSE)*14),IFERROR(VLOOKUP(L27,Karakterlap!$P$3:$Z$4,10,FALSE)*14,14)))</f>
        <v>14</v>
      </c>
      <c r="AI27">
        <v>0</v>
      </c>
      <c r="AJ27">
        <v>7</v>
      </c>
      <c r="AK27">
        <v>6</v>
      </c>
      <c r="AL27">
        <f>IFERROR(VLOOKUP(L27,Karakterlap!$P$3:$Z$4,10,FALSE)*($E$18+4),$E$18+4)</f>
        <v>10</v>
      </c>
      <c r="AN27" t="s">
        <v>115</v>
      </c>
      <c r="AR27" s="17">
        <v>20</v>
      </c>
      <c r="AS27" s="17">
        <v>10</v>
      </c>
      <c r="BA27">
        <f>IFERROR(IF(Karakterlap!$P$6&gt;13,112001+((Karakterlap!$P$6-13)*31200),112001),112001)</f>
        <v>112001</v>
      </c>
      <c r="BB27" s="40">
        <f>VLOOKUP("k6+12",$I$2:$J$11,2,FALSE)+IFERROR(VLOOKUP(Karakterlap!$V$7,$A$24:$C$33,3,FALSE),0)</f>
        <v>16</v>
      </c>
      <c r="BC27" s="40">
        <f>VLOOKUP("k10+8",$I$2:$J$11,2,FALSE)+IFERROR(VLOOKUP(Karakterlap!$V$7,$A$24:$D$33,4,FALSE),0)</f>
        <v>14</v>
      </c>
      <c r="BD27" s="40">
        <f>VLOOKUP("2k6+6",$I$2:$J$11,2,FALSE)+IFERROR(VLOOKUP(Karakterlap!$V$7,$A$24:$E$33,5,FALSE),0)</f>
        <v>13</v>
      </c>
      <c r="BE27" s="40">
        <f>VLOOKUP("2k6+6",$I$2:$J$11,2,FALSE)+IFERROR(VLOOKUP(Karakterlap!$V$7,$A$24:$F$33,6,FALSE),0)</f>
        <v>13</v>
      </c>
      <c r="BF27" s="40">
        <f>VLOOKUP("k10+10",$I$2:$J$11,2,FALSE)+IFERROR(VLOOKUP(Karakterlap!$V$7,$A$24:$G$33,7,FALSE),0)</f>
        <v>16</v>
      </c>
      <c r="BG27" s="40">
        <f>VLOOKUP("3k6(2x)",$I$2:$J$11,2,FALSE)+IFERROR(VLOOKUP(Karakterlap!$V$7,$A$24:$H$33,8,FALSE),0)</f>
        <v>11</v>
      </c>
      <c r="BH27" s="40">
        <f>VLOOKUP("3k6(2x)",$I$2:$J$11,2,FALSE)+IFERROR(VLOOKUP(Karakterlap!$V$7,$A$24:$I$33,9,FALSE),0)</f>
        <v>11</v>
      </c>
      <c r="BI27" s="40">
        <f t="shared" si="0"/>
        <v>13</v>
      </c>
      <c r="BJ27" s="40">
        <f>VLOOKUP("3k6(2x)",$I$2:$J$11,2,FALSE)+IFERROR(VLOOKUP(Karakterlap!$V$7,$A$24:$J$33,10,FALSE),0)</f>
        <v>11</v>
      </c>
      <c r="BK27" s="40">
        <f t="shared" si="1"/>
        <v>13</v>
      </c>
      <c r="BL27" s="40">
        <f>IF((SUM(Karakterlap!$F$3:$F$12)-SUM(BB27:BK27))&lt;0,0,SUM(Karakterlap!$F$3:$F$12)-SUM(BB27:BK27))</f>
        <v>0</v>
      </c>
      <c r="BM27" t="e">
        <f>IF(Karakterlap!$F$3&gt;18,IF((Karakterlap!$F$3-IF(BB27&gt;18,BB27,18))&gt;0,Karakterlap!$F$3-IF(BB27&gt;18,BB27,18),0),0)+IF(Karakterlap!$F$4&gt;18,IF((Karakterlap!$F$4-IF(BC27&gt;18,BC27,18))&gt;0,Karakterlap!$F$4-IF(BC27&gt;18,BC27,18),0),0)+IF(Karakterlap!$F$5&gt;18,IF((Karakterlap!$F$5-IF(BD27&gt;18,BD27,18))&gt;0,Karakterlap!$F$5-IF(BD27&gt;18,BD27,18),0),0)+IF(Karakterlap!$F$6&gt;18,IF((Karakterlap!$F$6-IF(BE27&gt;18,BE27,18))&gt;0,Karakterlap!$F$6-IF(BE27&gt;18,BE27,18),0),0)+IF(Karakterlap!$F$7&gt;18,IF((Karakterlap!$F$7-IF(BF27&gt;18,BF27,18))&gt;0,Karakterlap!$F$7-IF(BF27&gt;18,BF27,18),0),0)+IF(Karakterlap!$F$8&gt;18,IF((Karakterlap!$F$8-IF(BG27&gt;18,BG27,18))&gt;0,Karakterlap!$F$8-IF(BG27&gt;18,BG27,18),0),0)+IF(Karakterlap!$F$9&gt;18,IF((Karakterlap!$F$9-IF(BH27&gt;18,BH27,18))&gt;0,Karakterlap!$F$9-IF(BH27&gt;18,BH27,18),0),0)+IF(Karakterlap!$F$10&gt;18,IF((Karakterlap!$F$10-IF(BI27&gt;18,BI27,18))&gt;0,Karakterlap!$F$10-IF(BI27&gt;18,BI27,18),0),0)+IF(Karakterlap!$F$11&gt;18,IF((Karakterlap!$F$11-IF(BJ27&gt;18,BJ27,18))&gt;0,Karakterlap!$F$11-IF(BJ27&gt;18,BJ27,18),0),0)+IF(Karakterlap!$F$12&gt;18,IF((Karakterlap!$F$12-IF(BK27&gt;18,BK27,18))&gt;0,Karakterlap!$F$12-IF(BK27&gt;18,BK27,18),0),0)</f>
        <v>#VALUE!</v>
      </c>
    </row>
    <row r="28" spans="1:65" x14ac:dyDescent="0.25">
      <c r="A28" s="46" t="s">
        <v>36</v>
      </c>
      <c r="B28" s="6">
        <v>1200</v>
      </c>
      <c r="C28" s="1"/>
      <c r="D28" s="1"/>
      <c r="E28" s="1"/>
      <c r="F28" s="1"/>
      <c r="G28" s="1"/>
      <c r="H28" s="1">
        <v>1</v>
      </c>
      <c r="I28" s="1">
        <v>1</v>
      </c>
      <c r="J28" s="48"/>
      <c r="L28" t="s">
        <v>217</v>
      </c>
      <c r="M28">
        <v>0</v>
      </c>
      <c r="N28">
        <v>161</v>
      </c>
      <c r="O28">
        <v>321</v>
      </c>
      <c r="P28">
        <v>641</v>
      </c>
      <c r="Q28">
        <v>1441</v>
      </c>
      <c r="R28">
        <v>2801</v>
      </c>
      <c r="S28">
        <v>5601</v>
      </c>
      <c r="T28">
        <v>10001</v>
      </c>
      <c r="U28">
        <v>20001</v>
      </c>
      <c r="V28">
        <v>40001</v>
      </c>
      <c r="W28">
        <v>60001</v>
      </c>
      <c r="X28">
        <v>80001</v>
      </c>
      <c r="Y28">
        <f>IFERROR(IF(VLOOKUP(L28,Karakterlap!$P$3:$Z$4,10,FALSE)&gt;13,112001+((VLOOKUP(L28,Karakterlap!$P$3:$Z$4,10,FALSE)-13)*31200),112001),112001)</f>
        <v>112001</v>
      </c>
      <c r="Z28">
        <v>9</v>
      </c>
      <c r="AA28">
        <v>20</v>
      </c>
      <c r="AB28">
        <v>75</v>
      </c>
      <c r="AC28">
        <v>20</v>
      </c>
      <c r="AD28">
        <f>IFERROR(VLOOKUP(L28,Karakterlap!$P$3:$Z$4,10,FALSE)*11,11)</f>
        <v>11</v>
      </c>
      <c r="AE28">
        <f>IFERROR(IF(Karakterlap!$P$5="Váltott kaszt",IF(Karakterlap!$P$3=Adattábla!$L28,Karakterlap!$Y$3*3,IF(Karakterlap!$P$4=Adattábla!$L28,(Karakterlap!$Y$4-Adattábla!$I$20)*3,3)),VLOOKUP(Adattábla!$L28,Karakterlap!$P$3:$Z$4,10,FALSE)*3),3)</f>
        <v>3</v>
      </c>
      <c r="AF28">
        <f>IFERROR(IF(Karakterlap!$P$5="Váltott kaszt",IF(Karakterlap!$P$3=Adattábla!$L28,Karakterlap!$Y$3*3,IF(Karakterlap!$P$4=Adattábla!$L28,(Karakterlap!$Y$4-Adattábla!$I$20)*3,3)),VLOOKUP(Adattábla!$L28,Karakterlap!$P$3:$Z$4,10,FALSE)*3),3)</f>
        <v>3</v>
      </c>
      <c r="AG28">
        <v>10</v>
      </c>
      <c r="AH28">
        <f>IF(Karakterlap!$P$5="Iker kaszt",IF(Karakterlap!$P$3=L28,IFERROR((Karakterlap!$P$6*14)+(VLOOKUP(L28,Karakterlap!$P$3:$Z$4,10,FALSE)-Karakterlap!$P$6),14),IF(Karakterlap!$P$4=L28,VLOOKUP(L28,Karakterlap!$P$3:$Z$4,10,FALSE),14)),IF(Karakterlap!$P$5="Váltott kaszt",IF(L28=Karakterlap!$P$3,(Karakterlap!$Y$3+3)*14,VLOOKUP(L28,Karakterlap!$P$3:$Z$4,10,FALSE)*14),IFERROR(VLOOKUP(L28,Karakterlap!$P$3:$Z$4,10,FALSE)*14,14)))</f>
        <v>14</v>
      </c>
      <c r="AI28">
        <v>0</v>
      </c>
      <c r="AJ28">
        <v>7</v>
      </c>
      <c r="AK28">
        <v>6</v>
      </c>
      <c r="AL28">
        <f>IFERROR(VLOOKUP(L28,Karakterlap!$P$3:$Z$4,10,FALSE)*($E$18+4),$E$18+4)</f>
        <v>10</v>
      </c>
      <c r="AN28" t="s">
        <v>115</v>
      </c>
      <c r="AS28" s="17">
        <v>10</v>
      </c>
      <c r="BA28">
        <f>IFERROR(IF(Karakterlap!$P$6&gt;13,112001+((Karakterlap!$P$6-13)*31200),112001),112001)</f>
        <v>112001</v>
      </c>
      <c r="BB28" s="40">
        <f>VLOOKUP("k6+12",$I$2:$J$11,2,FALSE)+IFERROR(VLOOKUP(Karakterlap!$V$7,$A$24:$C$33,3,FALSE),0)</f>
        <v>16</v>
      </c>
      <c r="BC28" s="40">
        <f>VLOOKUP("k10+8",$I$2:$J$11,2,FALSE)+IFERROR(VLOOKUP(Karakterlap!$V$7,$A$24:$D$33,4,FALSE),0)</f>
        <v>14</v>
      </c>
      <c r="BD28" s="40">
        <f>VLOOKUP("2k6+6",$I$2:$J$11,2,FALSE)+IFERROR(VLOOKUP(Karakterlap!$V$7,$A$24:$E$33,5,FALSE),0)</f>
        <v>13</v>
      </c>
      <c r="BE28" s="40">
        <f>VLOOKUP("2k6+6",$I$2:$J$11,2,FALSE)+IFERROR(VLOOKUP(Karakterlap!$V$7,$A$24:$F$33,6,FALSE),0)</f>
        <v>13</v>
      </c>
      <c r="BF28" s="40">
        <f>VLOOKUP("k10+10",$I$2:$J$11,2,FALSE)+IFERROR(VLOOKUP(Karakterlap!$V$7,$A$24:$G$33,7,FALSE),0)</f>
        <v>16</v>
      </c>
      <c r="BG28" s="40">
        <f>VLOOKUP("3k6(2x)",$I$2:$J$11,2,FALSE)+IFERROR(VLOOKUP(Karakterlap!$V$7,$A$24:$H$33,8,FALSE),0)</f>
        <v>11</v>
      </c>
      <c r="BH28" s="40">
        <f>VLOOKUP("3k6(2x)",$I$2:$J$11,2,FALSE)+IFERROR(VLOOKUP(Karakterlap!$V$7,$A$24:$I$33,9,FALSE),0)</f>
        <v>11</v>
      </c>
      <c r="BI28" s="40">
        <f t="shared" si="0"/>
        <v>13</v>
      </c>
      <c r="BJ28" s="40">
        <f>VLOOKUP("3k6(2x)",$I$2:$J$11,2,FALSE)+IFERROR(VLOOKUP(Karakterlap!$V$7,$A$24:$J$33,10,FALSE),0)</f>
        <v>11</v>
      </c>
      <c r="BK28" s="40">
        <f t="shared" si="1"/>
        <v>13</v>
      </c>
      <c r="BL28" s="40">
        <f>IF((SUM(Karakterlap!$F$3:$F$12)-SUM(BB28:BK28))&lt;0,0,SUM(Karakterlap!$F$3:$F$12)-SUM(BB28:BK28))</f>
        <v>0</v>
      </c>
      <c r="BM28" t="e">
        <f>IF(Karakterlap!$F$3&gt;18,IF((Karakterlap!$F$3-IF(BB28&gt;18,BB28,18))&gt;0,Karakterlap!$F$3-IF(BB28&gt;18,BB28,18),0),0)+IF(Karakterlap!$F$4&gt;18,IF((Karakterlap!$F$4-IF(BC28&gt;18,BC28,18))&gt;0,Karakterlap!$F$4-IF(BC28&gt;18,BC28,18),0),0)+IF(Karakterlap!$F$5&gt;18,IF((Karakterlap!$F$5-IF(BD28&gt;18,BD28,18))&gt;0,Karakterlap!$F$5-IF(BD28&gt;18,BD28,18),0),0)+IF(Karakterlap!$F$6&gt;18,IF((Karakterlap!$F$6-IF(BE28&gt;18,BE28,18))&gt;0,Karakterlap!$F$6-IF(BE28&gt;18,BE28,18),0),0)+IF(Karakterlap!$F$7&gt;18,IF((Karakterlap!$F$7-IF(BF28&gt;18,BF28,18))&gt;0,Karakterlap!$F$7-IF(BF28&gt;18,BF28,18),0),0)+IF(Karakterlap!$F$8&gt;18,IF((Karakterlap!$F$8-IF(BG28&gt;18,BG28,18))&gt;0,Karakterlap!$F$8-IF(BG28&gt;18,BG28,18),0),0)+IF(Karakterlap!$F$9&gt;18,IF((Karakterlap!$F$9-IF(BH28&gt;18,BH28,18))&gt;0,Karakterlap!$F$9-IF(BH28&gt;18,BH28,18),0),0)+IF(Karakterlap!$F$10&gt;18,IF((Karakterlap!$F$10-IF(BI28&gt;18,BI28,18))&gt;0,Karakterlap!$F$10-IF(BI28&gt;18,BI28,18),0),0)+IF(Karakterlap!$F$11&gt;18,IF((Karakterlap!$F$11-IF(BJ28&gt;18,BJ28,18))&gt;0,Karakterlap!$F$11-IF(BJ28&gt;18,BJ28,18),0),0)+IF(Karakterlap!$F$12&gt;18,IF((Karakterlap!$F$12-IF(BK28&gt;18,BK28,18))&gt;0,Karakterlap!$F$12-IF(BK28&gt;18,BK28,18),0),0)</f>
        <v>#VALUE!</v>
      </c>
    </row>
    <row r="29" spans="1:65" x14ac:dyDescent="0.25">
      <c r="A29" s="46" t="s">
        <v>39</v>
      </c>
      <c r="B29" s="6">
        <v>800</v>
      </c>
      <c r="C29" s="1">
        <v>-2</v>
      </c>
      <c r="D29" s="1">
        <v>-1</v>
      </c>
      <c r="E29" s="1">
        <v>1</v>
      </c>
      <c r="F29" s="1">
        <v>1</v>
      </c>
      <c r="G29" s="1"/>
      <c r="H29" s="1">
        <v>1</v>
      </c>
      <c r="I29" s="1"/>
      <c r="J29" s="48"/>
      <c r="L29" t="s">
        <v>218</v>
      </c>
      <c r="M29">
        <v>0</v>
      </c>
      <c r="N29">
        <v>161</v>
      </c>
      <c r="O29">
        <v>321</v>
      </c>
      <c r="P29">
        <v>641</v>
      </c>
      <c r="Q29">
        <v>1441</v>
      </c>
      <c r="R29">
        <v>2801</v>
      </c>
      <c r="S29">
        <v>5601</v>
      </c>
      <c r="T29">
        <v>10001</v>
      </c>
      <c r="U29">
        <v>20001</v>
      </c>
      <c r="V29">
        <v>40001</v>
      </c>
      <c r="W29">
        <v>60001</v>
      </c>
      <c r="X29">
        <v>80001</v>
      </c>
      <c r="Y29">
        <f>IFERROR(IF(VLOOKUP(L29,Karakterlap!$P$3:$Z$4,10,FALSE)&gt;13,112001+((VLOOKUP(L29,Karakterlap!$P$3:$Z$4,10,FALSE)-13)*31200),112001),112001)</f>
        <v>112001</v>
      </c>
      <c r="Z29">
        <v>9</v>
      </c>
      <c r="AA29">
        <v>20</v>
      </c>
      <c r="AB29">
        <v>75</v>
      </c>
      <c r="AC29">
        <v>0</v>
      </c>
      <c r="AD29">
        <f>IFERROR(VLOOKUP(L29,Karakterlap!$P$3:$Z$4,10,FALSE)*11,11)</f>
        <v>11</v>
      </c>
      <c r="AE29">
        <f>IFERROR(IF(Karakterlap!$P$5="Váltott kaszt",IF(Karakterlap!$P$3=Adattábla!$L29,Karakterlap!$Y$3*3,IF(Karakterlap!$P$4=Adattábla!$L29,(Karakterlap!$Y$4-Adattábla!$I$20)*3,3)),VLOOKUP(Adattábla!$L29,Karakterlap!$P$3:$Z$4,10,FALSE)*3),3)</f>
        <v>3</v>
      </c>
      <c r="AF29">
        <f>IFERROR(IF(Karakterlap!$P$5="Váltott kaszt",IF(Karakterlap!$P$3=Adattábla!$L29,Karakterlap!$Y$3*3,IF(Karakterlap!$P$4=Adattábla!$L29,(Karakterlap!$Y$4-Adattábla!$I$20)*3,3)),VLOOKUP(Adattábla!$L29,Karakterlap!$P$3:$Z$4,10,FALSE)*3),3)</f>
        <v>3</v>
      </c>
      <c r="AG29">
        <v>7</v>
      </c>
      <c r="AH29">
        <f>IF(Karakterlap!$P$5="Iker kaszt",IF(Karakterlap!$P$3=L29,IFERROR((Karakterlap!$P$6*7)+(VLOOKUP(L29,Karakterlap!$P$3:$Z$4,10,FALSE)-Karakterlap!$P$6),7),IF(Karakterlap!$P$4=L29,VLOOKUP(L29,Karakterlap!$P$3:$Z$4,10,FALSE),7)),IF(Karakterlap!$P$5="Váltott kaszt",IF(L29=Karakterlap!$P$3,(Karakterlap!$Y$3+3)*7,VLOOKUP(L29,Karakterlap!$P$3:$Z$4,10,FALSE)*7),IFERROR(VLOOKUP(L29,Karakterlap!$P$3:$Z$4,10,FALSE)*7,7)))</f>
        <v>7</v>
      </c>
      <c r="AI29">
        <v>0</v>
      </c>
      <c r="AJ29">
        <v>7</v>
      </c>
      <c r="AK29">
        <v>6</v>
      </c>
      <c r="AL29">
        <f>IFERROR(VLOOKUP(L29,Karakterlap!$P$3:$Z$4,10,FALSE)*($E$18+4),$E$18+4)</f>
        <v>10</v>
      </c>
      <c r="AN29" t="s">
        <v>108</v>
      </c>
      <c r="AO29" t="str">
        <f>IFERROR((IF(Karakterlap!$F$9&gt;10,Karakterlap!$F$9-10,0))+4+((VLOOKUP(L29,Karakterlap!$P$3:$Z$4,10,FALSE)-1)*3),"más kaszt")</f>
        <v>más kaszt</v>
      </c>
      <c r="AQ29" s="17">
        <v>15</v>
      </c>
      <c r="AR29" s="17">
        <v>20</v>
      </c>
      <c r="AS29" s="17">
        <v>10</v>
      </c>
      <c r="BA29">
        <f>IFERROR(IF(Karakterlap!$P$6&gt;13,112001+((Karakterlap!$P$6-13)*31200),112001),112001)</f>
        <v>112001</v>
      </c>
      <c r="BB29" s="40">
        <f>VLOOKUP("k6+12",$I$2:$J$11,2,FALSE)+IFERROR(VLOOKUP(Karakterlap!$V$7,$A$24:$C$33,3,FALSE),0)</f>
        <v>16</v>
      </c>
      <c r="BC29" s="40">
        <f>VLOOKUP("k10+8",$I$2:$J$11,2,FALSE)+IFERROR(VLOOKUP(Karakterlap!$V$7,$A$24:$D$33,4,FALSE),0)</f>
        <v>14</v>
      </c>
      <c r="BD29" s="40">
        <f>VLOOKUP("2k6+6",$I$2:$J$11,2,FALSE)+IFERROR(VLOOKUP(Karakterlap!$V$7,$A$24:$E$33,5,FALSE),0)</f>
        <v>13</v>
      </c>
      <c r="BE29" s="40">
        <f>VLOOKUP("2k6+6",$I$2:$J$11,2,FALSE)+IFERROR(VLOOKUP(Karakterlap!$V$7,$A$24:$F$33,6,FALSE),0)</f>
        <v>13</v>
      </c>
      <c r="BF29" s="40">
        <f>VLOOKUP("k10+10",$I$2:$J$11,2,FALSE)+IFERROR(VLOOKUP(Karakterlap!$V$7,$A$24:$G$33,7,FALSE),0)</f>
        <v>16</v>
      </c>
      <c r="BG29" s="40">
        <f>VLOOKUP("3k6(2x)",$I$2:$J$11,2,FALSE)+IFERROR(VLOOKUP(Karakterlap!$V$7,$A$24:$H$33,8,FALSE),0)</f>
        <v>11</v>
      </c>
      <c r="BH29" s="40">
        <f>VLOOKUP("3k6(2x)",$I$2:$J$11,2,FALSE)+IFERROR(VLOOKUP(Karakterlap!$V$7,$A$24:$I$33,9,FALSE),0)</f>
        <v>11</v>
      </c>
      <c r="BI29" s="40">
        <f t="shared" si="0"/>
        <v>13</v>
      </c>
      <c r="BJ29" s="40">
        <f>VLOOKUP("3k6(2x)",$I$2:$J$11,2,FALSE)+IFERROR(VLOOKUP(Karakterlap!$V$7,$A$24:$J$33,10,FALSE),0)</f>
        <v>11</v>
      </c>
      <c r="BK29" s="40">
        <f t="shared" si="1"/>
        <v>13</v>
      </c>
      <c r="BL29" s="40">
        <f>IF((SUM(Karakterlap!$F$3:$F$12)-SUM(BB29:BK29))&lt;0,0,SUM(Karakterlap!$F$3:$F$12)-SUM(BB29:BK29))</f>
        <v>0</v>
      </c>
      <c r="BM29" t="e">
        <f>IF(Karakterlap!$F$3&gt;18,IF((Karakterlap!$F$3-IF(BB29&gt;18,BB29,18))&gt;0,Karakterlap!$F$3-IF(BB29&gt;18,BB29,18),0),0)+IF(Karakterlap!$F$4&gt;18,IF((Karakterlap!$F$4-IF(BC29&gt;18,BC29,18))&gt;0,Karakterlap!$F$4-IF(BC29&gt;18,BC29,18),0),0)+IF(Karakterlap!$F$5&gt;18,IF((Karakterlap!$F$5-IF(BD29&gt;18,BD29,18))&gt;0,Karakterlap!$F$5-IF(BD29&gt;18,BD29,18),0),0)+IF(Karakterlap!$F$6&gt;18,IF((Karakterlap!$F$6-IF(BE29&gt;18,BE29,18))&gt;0,Karakterlap!$F$6-IF(BE29&gt;18,BE29,18),0),0)+IF(Karakterlap!$F$7&gt;18,IF((Karakterlap!$F$7-IF(BF29&gt;18,BF29,18))&gt;0,Karakterlap!$F$7-IF(BF29&gt;18,BF29,18),0),0)+IF(Karakterlap!$F$8&gt;18,IF((Karakterlap!$F$8-IF(BG29&gt;18,BG29,18))&gt;0,Karakterlap!$F$8-IF(BG29&gt;18,BG29,18),0),0)+IF(Karakterlap!$F$9&gt;18,IF((Karakterlap!$F$9-IF(BH29&gt;18,BH29,18))&gt;0,Karakterlap!$F$9-IF(BH29&gt;18,BH29,18),0),0)+IF(Karakterlap!$F$10&gt;18,IF((Karakterlap!$F$10-IF(BI29&gt;18,BI29,18))&gt;0,Karakterlap!$F$10-IF(BI29&gt;18,BI29,18),0),0)+IF(Karakterlap!$F$11&gt;18,IF((Karakterlap!$F$11-IF(BJ29&gt;18,BJ29,18))&gt;0,Karakterlap!$F$11-IF(BJ29&gt;18,BJ29,18),0),0)+IF(Karakterlap!$F$12&gt;18,IF((Karakterlap!$F$12-IF(BK29&gt;18,BK29,18))&gt;0,Karakterlap!$F$12-IF(BK29&gt;18,BK29,18),0),0)</f>
        <v>#VALUE!</v>
      </c>
    </row>
    <row r="30" spans="1:65" x14ac:dyDescent="0.25">
      <c r="A30" s="46" t="s">
        <v>259</v>
      </c>
      <c r="B30" s="6">
        <v>800</v>
      </c>
      <c r="C30" s="1"/>
      <c r="D30" s="1"/>
      <c r="E30" s="1"/>
      <c r="F30" s="1"/>
      <c r="G30" s="1"/>
      <c r="H30" s="1"/>
      <c r="I30" s="1">
        <v>2</v>
      </c>
      <c r="J30" s="48"/>
      <c r="L30" t="s">
        <v>219</v>
      </c>
      <c r="M30">
        <v>0</v>
      </c>
      <c r="N30">
        <v>161</v>
      </c>
      <c r="O30">
        <v>321</v>
      </c>
      <c r="P30">
        <v>641</v>
      </c>
      <c r="Q30">
        <v>1441</v>
      </c>
      <c r="R30">
        <v>2801</v>
      </c>
      <c r="S30">
        <v>5601</v>
      </c>
      <c r="T30">
        <v>10001</v>
      </c>
      <c r="U30">
        <v>20001</v>
      </c>
      <c r="V30">
        <v>40001</v>
      </c>
      <c r="W30">
        <v>60001</v>
      </c>
      <c r="X30">
        <v>80001</v>
      </c>
      <c r="Y30">
        <f>IFERROR(IF(VLOOKUP(L30,Karakterlap!$P$3:$Z$4,10,FALSE)&gt;13,112001+((VLOOKUP(L30,Karakterlap!$P$3:$Z$4,10,FALSE)-13)*31200),112001),112001)</f>
        <v>112001</v>
      </c>
      <c r="Z30">
        <v>9</v>
      </c>
      <c r="AA30">
        <v>20</v>
      </c>
      <c r="AB30">
        <v>75</v>
      </c>
      <c r="AC30">
        <v>0</v>
      </c>
      <c r="AD30">
        <f>IFERROR(VLOOKUP(L30,Karakterlap!$P$3:$Z$4,10,FALSE)*11,11)</f>
        <v>11</v>
      </c>
      <c r="AE30">
        <f>IFERROR(IF(Karakterlap!$P$5="Váltott kaszt",IF(Karakterlap!$P$3=Adattábla!$L30,Karakterlap!$Y$3*5,IF(Karakterlap!$P$4=Adattábla!$L30,(Karakterlap!$Y$4-Adattábla!$I$20)*5,5)),VLOOKUP(Adattábla!$L30,Karakterlap!$P$3:$Z$4,10,FALSE)*5),5)</f>
        <v>5</v>
      </c>
      <c r="AF30">
        <f>IFERROR(IF(Karakterlap!$P$5="Váltott kaszt",IF(Karakterlap!$P$3=Adattábla!$L30,Karakterlap!$Y$3*3,IF(Karakterlap!$P$4=Adattábla!$L30,(Karakterlap!$Y$4-Adattábla!$I$20)*3,3)),VLOOKUP(Adattábla!$L30,Karakterlap!$P$3:$Z$4,10,FALSE)*3),3)</f>
        <v>3</v>
      </c>
      <c r="AG30">
        <v>10</v>
      </c>
      <c r="AH30">
        <f>IF(Karakterlap!$P$5="Iker kaszt",IF(Karakterlap!$P$3=L30,IFERROR((Karakterlap!$P$6*14)+(VLOOKUP(L30,Karakterlap!$P$3:$Z$4,10,FALSE)-Karakterlap!$P$6),14),IF(Karakterlap!$P$4=L30,VLOOKUP(L30,Karakterlap!$P$3:$Z$4,10,FALSE),14)),IF(Karakterlap!$P$5="Váltott kaszt",IF(L30=Karakterlap!$P$3,(Karakterlap!$Y$3+3)*14,VLOOKUP(L30,Karakterlap!$P$3:$Z$4,10,FALSE)*14),IFERROR(VLOOKUP(L30,Karakterlap!$P$3:$Z$4,10,FALSE)*14,14)))</f>
        <v>14</v>
      </c>
      <c r="AI30">
        <v>0</v>
      </c>
      <c r="AJ30">
        <v>6</v>
      </c>
      <c r="AK30">
        <v>8</v>
      </c>
      <c r="AL30">
        <f>IFERROR(VLOOKUP(L30,Karakterlap!$P$3:$Z$4,10,FALSE)*($E$18+4),$E$18+4)</f>
        <v>10</v>
      </c>
      <c r="AN30" t="s">
        <v>115</v>
      </c>
      <c r="AR30" s="17">
        <v>20</v>
      </c>
      <c r="AS30" s="17">
        <v>10</v>
      </c>
      <c r="BA30">
        <f>IFERROR(IF(Karakterlap!$P$6&gt;13,112001+((Karakterlap!$P$6-13)*31200),112001),112001)</f>
        <v>112001</v>
      </c>
      <c r="BB30" s="40">
        <f>VLOOKUP("k6+12",$I$2:$J$11,2,FALSE)+IFERROR(VLOOKUP(Karakterlap!$V$7,$A$24:$C$33,3,FALSE),0)</f>
        <v>16</v>
      </c>
      <c r="BC30" s="40">
        <f>VLOOKUP("k10+8",$I$2:$J$11,2,FALSE)+IFERROR(VLOOKUP(Karakterlap!$V$7,$A$24:$D$33,4,FALSE),0)</f>
        <v>14</v>
      </c>
      <c r="BD30" s="40">
        <f>VLOOKUP("2k6+6",$I$2:$J$11,2,FALSE)+IFERROR(VLOOKUP(Karakterlap!$V$7,$A$24:$E$33,5,FALSE),0)</f>
        <v>13</v>
      </c>
      <c r="BE30" s="40">
        <f>VLOOKUP("2k6+6",$I$2:$J$11,2,FALSE)+IFERROR(VLOOKUP(Karakterlap!$V$7,$A$24:$F$33,6,FALSE),0)</f>
        <v>13</v>
      </c>
      <c r="BF30" s="40">
        <f>VLOOKUP("k10+10",$I$2:$J$11,2,FALSE)+IFERROR(VLOOKUP(Karakterlap!$V$7,$A$24:$G$33,7,FALSE),0)</f>
        <v>16</v>
      </c>
      <c r="BG30" s="40">
        <f>VLOOKUP("3k6(2x)",$I$2:$J$11,2,FALSE)+IFERROR(VLOOKUP(Karakterlap!$V$7,$A$24:$H$33,8,FALSE),0)</f>
        <v>11</v>
      </c>
      <c r="BH30" s="40">
        <f>VLOOKUP("3k6(2x)",$I$2:$J$11,2,FALSE)+IFERROR(VLOOKUP(Karakterlap!$V$7,$A$24:$I$33,9,FALSE),0)</f>
        <v>11</v>
      </c>
      <c r="BI30" s="40">
        <f t="shared" si="0"/>
        <v>13</v>
      </c>
      <c r="BJ30" s="40">
        <f>VLOOKUP("3k6(2x)",$I$2:$J$11,2,FALSE)+IFERROR(VLOOKUP(Karakterlap!$V$7,$A$24:$J$33,10,FALSE),0)</f>
        <v>11</v>
      </c>
      <c r="BK30" s="40">
        <f t="shared" si="1"/>
        <v>13</v>
      </c>
      <c r="BL30" s="40">
        <f>IF((SUM(Karakterlap!$F$3:$F$12)-SUM(BB30:BK30))&lt;0,0,SUM(Karakterlap!$F$3:$F$12)-SUM(BB30:BK30))</f>
        <v>0</v>
      </c>
      <c r="BM30" t="e">
        <f>IF(Karakterlap!$F$3&gt;18,IF((Karakterlap!$F$3-IF(BB30&gt;18,BB30,18))&gt;0,Karakterlap!$F$3-IF(BB30&gt;18,BB30,18),0),0)+IF(Karakterlap!$F$4&gt;18,IF((Karakterlap!$F$4-IF(BC30&gt;18,BC30,18))&gt;0,Karakterlap!$F$4-IF(BC30&gt;18,BC30,18),0),0)+IF(Karakterlap!$F$5&gt;18,IF((Karakterlap!$F$5-IF(BD30&gt;18,BD30,18))&gt;0,Karakterlap!$F$5-IF(BD30&gt;18,BD30,18),0),0)+IF(Karakterlap!$F$6&gt;18,IF((Karakterlap!$F$6-IF(BE30&gt;18,BE30,18))&gt;0,Karakterlap!$F$6-IF(BE30&gt;18,BE30,18),0),0)+IF(Karakterlap!$F$7&gt;18,IF((Karakterlap!$F$7-IF(BF30&gt;18,BF30,18))&gt;0,Karakterlap!$F$7-IF(BF30&gt;18,BF30,18),0),0)+IF(Karakterlap!$F$8&gt;18,IF((Karakterlap!$F$8-IF(BG30&gt;18,BG30,18))&gt;0,Karakterlap!$F$8-IF(BG30&gt;18,BG30,18),0),0)+IF(Karakterlap!$F$9&gt;18,IF((Karakterlap!$F$9-IF(BH30&gt;18,BH30,18))&gt;0,Karakterlap!$F$9-IF(BH30&gt;18,BH30,18),0),0)+IF(Karakterlap!$F$10&gt;18,IF((Karakterlap!$F$10-IF(BI30&gt;18,BI30,18))&gt;0,Karakterlap!$F$10-IF(BI30&gt;18,BI30,18),0),0)+IF(Karakterlap!$F$11&gt;18,IF((Karakterlap!$F$11-IF(BJ30&gt;18,BJ30,18))&gt;0,Karakterlap!$F$11-IF(BJ30&gt;18,BJ30,18),0),0)+IF(Karakterlap!$F$12&gt;18,IF((Karakterlap!$F$12-IF(BK30&gt;18,BK30,18))&gt;0,Karakterlap!$F$12-IF(BK30&gt;18,BK30,18),0),0)</f>
        <v>#VALUE!</v>
      </c>
    </row>
    <row r="31" spans="1:65" x14ac:dyDescent="0.25">
      <c r="A31" s="46" t="s">
        <v>239</v>
      </c>
      <c r="B31" s="6">
        <v>220</v>
      </c>
      <c r="C31" s="1">
        <v>3</v>
      </c>
      <c r="D31" s="1">
        <v>2</v>
      </c>
      <c r="E31" s="1">
        <v>2</v>
      </c>
      <c r="F31" s="1">
        <v>1</v>
      </c>
      <c r="G31" s="1">
        <v>3</v>
      </c>
      <c r="H31" s="1"/>
      <c r="I31" s="1">
        <v>-1</v>
      </c>
      <c r="J31" s="48">
        <v>-5</v>
      </c>
      <c r="L31" t="s">
        <v>220</v>
      </c>
      <c r="M31">
        <v>0</v>
      </c>
      <c r="N31">
        <v>189</v>
      </c>
      <c r="O31">
        <v>377</v>
      </c>
      <c r="P31">
        <v>826</v>
      </c>
      <c r="Q31">
        <v>1651</v>
      </c>
      <c r="R31">
        <v>3301</v>
      </c>
      <c r="S31">
        <v>7251</v>
      </c>
      <c r="T31">
        <v>12051</v>
      </c>
      <c r="U31">
        <v>24001</v>
      </c>
      <c r="V31">
        <v>48001</v>
      </c>
      <c r="W31">
        <v>68001</v>
      </c>
      <c r="X31">
        <v>93001</v>
      </c>
      <c r="Y31">
        <f>IFERROR(IF(VLOOKUP(L31,Karakterlap!$P$3:$Z$4,10,FALSE)&gt;13,130001+((VLOOKUP(L31,Karakterlap!$P$3:$Z$4,10,FALSE)-13)*40000),130001),130001)</f>
        <v>130001</v>
      </c>
      <c r="Z31">
        <v>9</v>
      </c>
      <c r="AA31">
        <v>20</v>
      </c>
      <c r="AB31">
        <v>75</v>
      </c>
      <c r="AC31">
        <v>0</v>
      </c>
      <c r="AD31">
        <f>IFERROR(VLOOKUP(L31,Karakterlap!$P$3:$Z$4,10,FALSE)*12,12)</f>
        <v>12</v>
      </c>
      <c r="AE31">
        <f>IFERROR(IF(Karakterlap!$P$5="Váltott kaszt",IF(Karakterlap!$P$3=Adattábla!$L31,Karakterlap!$Y$3*4,IF(Karakterlap!$P$4=Adattábla!$L31,(Karakterlap!$Y$4-Adattábla!$I$20)*4,4)),VLOOKUP(Adattábla!$L31,Karakterlap!$P$3:$Z$4,10,FALSE)*4),4)</f>
        <v>4</v>
      </c>
      <c r="AF31">
        <f>IFERROR(IF(Karakterlap!$P$5="Váltott kaszt",IF(Karakterlap!$P$3=Adattábla!$L31,Karakterlap!$Y$3*4,IF(Karakterlap!$P$4=Adattábla!$L31,(Karakterlap!$Y$4-Adattábla!$I$20)*4,4)),VLOOKUP(Adattábla!$L31,Karakterlap!$P$3:$Z$4,10,FALSE)*4),4)</f>
        <v>4</v>
      </c>
      <c r="AG31">
        <v>3</v>
      </c>
      <c r="AH31">
        <f>IF(Karakterlap!$P$5="Iker kaszt",IF(Karakterlap!$P$3=L31,IFERROR((Karakterlap!$P$6*6)+(VLOOKUP(L31,Karakterlap!$P$3:$Z$4,10,FALSE)-Karakterlap!$P$6),6),IF(Karakterlap!$P$4=L31,VLOOKUP(L31,Karakterlap!$P$3:$Z$4,10,FALSE),6)),IF(Karakterlap!$P$5="Váltott kaszt",IF(L31=Karakterlap!$P$3,(Karakterlap!$Y$3+3)*6,VLOOKUP(L31,Karakterlap!$P$3:$Z$4,10,FALSE)*6),IFERROR(VLOOKUP(L31,Karakterlap!$P$3:$Z$4,10,FALSE)*6,6)))</f>
        <v>6</v>
      </c>
      <c r="AI31">
        <v>0</v>
      </c>
      <c r="AJ31">
        <v>8</v>
      </c>
      <c r="AK31">
        <v>7</v>
      </c>
      <c r="AL31">
        <f>IFERROR(VLOOKUP(L31,Karakterlap!$P$3:$Z$4,10,FALSE)*($E$18+5),$E$18+5)</f>
        <v>11</v>
      </c>
      <c r="AN31" t="s">
        <v>115</v>
      </c>
      <c r="AR31" s="17">
        <v>30</v>
      </c>
      <c r="AS31" s="17">
        <v>20</v>
      </c>
      <c r="BA31">
        <f>IFERROR(IF(Karakterlap!$P$6&gt;13,130001+((Karakterlap!$P$6-13)*40000),130001),130001)</f>
        <v>130001</v>
      </c>
      <c r="BB31" s="40">
        <f>VLOOKUP("k6+12",$I$2:$J$11,2,FALSE)+IFERROR(VLOOKUP(Karakterlap!$V$7,$A$24:$C$33,3,FALSE),0)</f>
        <v>16</v>
      </c>
      <c r="BC31" s="40">
        <f>VLOOKUP("k10+8",$I$2:$J$11,2,FALSE)+IFERROR(VLOOKUP(Karakterlap!$V$7,$A$24:$D$33,4,FALSE),0)</f>
        <v>14</v>
      </c>
      <c r="BD31" s="40">
        <f>VLOOKUP("2k6+6",$I$2:$J$11,2,FALSE)+IFERROR(VLOOKUP(Karakterlap!$V$7,$A$24:$E$33,5,FALSE),0)</f>
        <v>13</v>
      </c>
      <c r="BE31" s="40">
        <f>VLOOKUP("2k6+6",$I$2:$J$11,2,FALSE)+IFERROR(VLOOKUP(Karakterlap!$V$7,$A$24:$F$33,6,FALSE),0)</f>
        <v>13</v>
      </c>
      <c r="BF31" s="40">
        <f>VLOOKUP("k10+10",$I$2:$J$11,2,FALSE)+IFERROR(VLOOKUP(Karakterlap!$V$7,$A$24:$G$33,7,FALSE),0)</f>
        <v>16</v>
      </c>
      <c r="BG31" s="40">
        <f>VLOOKUP("3k6(2x)",$I$2:$J$11,2,FALSE)+IFERROR(VLOOKUP(Karakterlap!$V$7,$A$24:$H$33,8,FALSE),0)</f>
        <v>11</v>
      </c>
      <c r="BH31" s="40">
        <f>VLOOKUP("3k6(2x)",$I$2:$J$11,2,FALSE)+IFERROR(VLOOKUP(Karakterlap!$V$7,$A$24:$I$33,9,FALSE),0)</f>
        <v>11</v>
      </c>
      <c r="BI31" s="40">
        <f t="shared" si="0"/>
        <v>13</v>
      </c>
      <c r="BJ31" s="40">
        <f>VLOOKUP("3k6(2x)",$I$2:$J$11,2,FALSE)+IFERROR(VLOOKUP(Karakterlap!$V$7,$A$24:$J$33,10,FALSE),0)</f>
        <v>11</v>
      </c>
      <c r="BK31" s="40">
        <f t="shared" si="1"/>
        <v>13</v>
      </c>
      <c r="BL31" s="40">
        <f>IF((SUM(Karakterlap!$F$3:$F$12)-SUM(BB31:BK31))&lt;0,0,SUM(Karakterlap!$F$3:$F$12)-SUM(BB31:BK31))</f>
        <v>0</v>
      </c>
      <c r="BM31" t="e">
        <f>IF(Karakterlap!$F$3&gt;18,IF((Karakterlap!$F$3-IF(BB31&gt;18,BB31,18))&gt;0,Karakterlap!$F$3-IF(BB31&gt;18,BB31,18),0),0)+IF(Karakterlap!$F$4&gt;18,IF((Karakterlap!$F$4-IF(BC31&gt;18,BC31,18))&gt;0,Karakterlap!$F$4-IF(BC31&gt;18,BC31,18),0),0)+IF(Karakterlap!$F$5&gt;18,IF((Karakterlap!$F$5-IF(BD31&gt;18,BD31,18))&gt;0,Karakterlap!$F$5-IF(BD31&gt;18,BD31,18),0),0)+IF(Karakterlap!$F$6&gt;18,IF((Karakterlap!$F$6-IF(BE31&gt;18,BE31,18))&gt;0,Karakterlap!$F$6-IF(BE31&gt;18,BE31,18),0),0)+IF(Karakterlap!$F$7&gt;18,IF((Karakterlap!$F$7-IF(BF31&gt;18,BF31,18))&gt;0,Karakterlap!$F$7-IF(BF31&gt;18,BF31,18),0),0)+IF(Karakterlap!$F$8&gt;18,IF((Karakterlap!$F$8-IF(BG31&gt;18,BG31,18))&gt;0,Karakterlap!$F$8-IF(BG31&gt;18,BG31,18),0),0)+IF(Karakterlap!$F$9&gt;18,IF((Karakterlap!$F$9-IF(BH31&gt;18,BH31,18))&gt;0,Karakterlap!$F$9-IF(BH31&gt;18,BH31,18),0),0)+IF(Karakterlap!$F$10&gt;18,IF((Karakterlap!$F$10-IF(BI31&gt;18,BI31,18))&gt;0,Karakterlap!$F$10-IF(BI31&gt;18,BI31,18),0),0)+IF(Karakterlap!$F$11&gt;18,IF((Karakterlap!$F$11-IF(BJ31&gt;18,BJ31,18))&gt;0,Karakterlap!$F$11-IF(BJ31&gt;18,BJ31,18),0),0)+IF(Karakterlap!$F$12&gt;18,IF((Karakterlap!$F$12-IF(BK31&gt;18,BK31,18))&gt;0,Karakterlap!$F$12-IF(BK31&gt;18,BK31,18),0),0)</f>
        <v>#VALUE!</v>
      </c>
    </row>
    <row r="32" spans="1:65" x14ac:dyDescent="0.25">
      <c r="A32" s="46" t="s">
        <v>260</v>
      </c>
      <c r="B32" s="6">
        <v>150</v>
      </c>
      <c r="C32" s="1">
        <v>1</v>
      </c>
      <c r="D32" s="1">
        <v>1</v>
      </c>
      <c r="E32" s="1"/>
      <c r="F32" s="1"/>
      <c r="G32" s="1"/>
      <c r="H32" s="1">
        <v>3</v>
      </c>
      <c r="I32" s="1"/>
      <c r="J32" s="48">
        <v>-1</v>
      </c>
      <c r="L32" t="s">
        <v>221</v>
      </c>
      <c r="M32">
        <v>0</v>
      </c>
      <c r="N32">
        <v>161</v>
      </c>
      <c r="O32">
        <v>321</v>
      </c>
      <c r="P32">
        <v>641</v>
      </c>
      <c r="Q32">
        <v>1441</v>
      </c>
      <c r="R32">
        <v>2801</v>
      </c>
      <c r="S32">
        <v>5601</v>
      </c>
      <c r="T32">
        <v>10001</v>
      </c>
      <c r="U32">
        <v>20001</v>
      </c>
      <c r="V32">
        <v>40001</v>
      </c>
      <c r="W32">
        <v>60001</v>
      </c>
      <c r="X32">
        <v>80001</v>
      </c>
      <c r="Y32">
        <f>IFERROR(IF(VLOOKUP(L32,Karakterlap!$P$3:$Z$4,10,FALSE)&gt;13,112001+((VLOOKUP(L32,Karakterlap!$P$3:$Z$4,10,FALSE)-13)*31200),112001),112001)</f>
        <v>112001</v>
      </c>
      <c r="Z32">
        <v>9</v>
      </c>
      <c r="AA32">
        <v>20</v>
      </c>
      <c r="AB32">
        <v>75</v>
      </c>
      <c r="AC32">
        <v>0</v>
      </c>
      <c r="AD32">
        <f>IFERROR(VLOOKUP(L32,Karakterlap!$P$3:$Z$4,10,FALSE)*11,11)</f>
        <v>11</v>
      </c>
      <c r="AE32">
        <f>IFERROR(IF(Karakterlap!$P$5="Váltott kaszt",IF(Karakterlap!$P$3=Adattábla!$L32,Karakterlap!$Y$3*3,IF(Karakterlap!$P$4=Adattábla!$L32,(Karakterlap!$Y$4-Adattábla!$I$20)*3,3)),VLOOKUP(Adattábla!$L32,Karakterlap!$P$3:$Z$4,10,FALSE)*3),3)</f>
        <v>3</v>
      </c>
      <c r="AF32">
        <f>IFERROR(IF(Karakterlap!$P$5="Váltott kaszt",IF(Karakterlap!$P$3=Adattábla!$L32,Karakterlap!$Y$3*3,IF(Karakterlap!$P$4=Adattábla!$L32,(Karakterlap!$Y$4-Adattábla!$I$20)*3,3)),VLOOKUP(Adattábla!$L32,Karakterlap!$P$3:$Z$4,10,FALSE)*3),3)</f>
        <v>3</v>
      </c>
      <c r="AG32">
        <v>10</v>
      </c>
      <c r="AH32">
        <f>IF(Karakterlap!$P$5="Iker kaszt",IF(Karakterlap!$P$3=L32,IFERROR((Karakterlap!$P$6*14)+(VLOOKUP(L32,Karakterlap!$P$3:$Z$4,10,FALSE)-Karakterlap!$P$6),14),IF(Karakterlap!$P$4=L32,VLOOKUP(L32,Karakterlap!$P$3:$Z$4,10,FALSE),14)),IF(Karakterlap!$P$5="Váltott kaszt",IF(L32=Karakterlap!$P$3,(Karakterlap!$Y$3+3)*14,VLOOKUP(L32,Karakterlap!$P$3:$Z$4,10,FALSE)*14),IFERROR(VLOOKUP(L32,Karakterlap!$P$3:$Z$4,10,FALSE)*14,14)))</f>
        <v>14</v>
      </c>
      <c r="AI32">
        <v>0</v>
      </c>
      <c r="AJ32">
        <v>7</v>
      </c>
      <c r="AK32">
        <v>6</v>
      </c>
      <c r="AL32">
        <f>IFERROR(VLOOKUP(L32,Karakterlap!$P$3:$Z$4,10,FALSE)*($E$18+4),$E$18+4)</f>
        <v>10</v>
      </c>
      <c r="AN32" t="s">
        <v>115</v>
      </c>
      <c r="AQ32" s="17">
        <v>15</v>
      </c>
      <c r="AR32" s="17">
        <v>20</v>
      </c>
      <c r="AS32" s="17">
        <v>10</v>
      </c>
      <c r="BA32">
        <f>IFERROR(IF(Karakterlap!$P$6&gt;13,112001+((Karakterlap!$P$6-13)*31200),112001),112001)</f>
        <v>112001</v>
      </c>
      <c r="BB32" s="40">
        <f>VLOOKUP("k6+12",$I$2:$J$11,2,FALSE)+IFERROR(VLOOKUP(Karakterlap!$V$7,$A$24:$C$33,3,FALSE),0)</f>
        <v>16</v>
      </c>
      <c r="BC32" s="40">
        <f>VLOOKUP("k10+8",$I$2:$J$11,2,FALSE)+IFERROR(VLOOKUP(Karakterlap!$V$7,$A$24:$D$33,4,FALSE),0)</f>
        <v>14</v>
      </c>
      <c r="BD32" s="40">
        <f>VLOOKUP("2k6+6",$I$2:$J$11,2,FALSE)+IFERROR(VLOOKUP(Karakterlap!$V$7,$A$24:$E$33,5,FALSE),0)</f>
        <v>13</v>
      </c>
      <c r="BE32" s="40">
        <f>VLOOKUP("2k6+6",$I$2:$J$11,2,FALSE)+IFERROR(VLOOKUP(Karakterlap!$V$7,$A$24:$F$33,6,FALSE),0)</f>
        <v>13</v>
      </c>
      <c r="BF32" s="40">
        <f>VLOOKUP("k10+10",$I$2:$J$11,2,FALSE)+IFERROR(VLOOKUP(Karakterlap!$V$7,$A$24:$G$33,7,FALSE),0)</f>
        <v>16</v>
      </c>
      <c r="BG32" s="40">
        <f>VLOOKUP("3k6(2x)",$I$2:$J$11,2,FALSE)+IFERROR(VLOOKUP(Karakterlap!$V$7,$A$24:$H$33,8,FALSE),0)</f>
        <v>11</v>
      </c>
      <c r="BH32" s="40">
        <f>VLOOKUP("3k6(2x)",$I$2:$J$11,2,FALSE)+IFERROR(VLOOKUP(Karakterlap!$V$7,$A$24:$I$33,9,FALSE),0)</f>
        <v>11</v>
      </c>
      <c r="BI32" s="40">
        <f t="shared" si="0"/>
        <v>13</v>
      </c>
      <c r="BJ32" s="40">
        <f>VLOOKUP("3k6(2x)",$I$2:$J$11,2,FALSE)+IFERROR(VLOOKUP(Karakterlap!$V$7,$A$24:$J$33,10,FALSE),0)</f>
        <v>11</v>
      </c>
      <c r="BK32" s="40">
        <f t="shared" si="1"/>
        <v>13</v>
      </c>
      <c r="BL32" s="40">
        <f>IF((SUM(Karakterlap!$F$3:$F$12)-SUM(BB32:BK32))&lt;0,0,SUM(Karakterlap!$F$3:$F$12)-SUM(BB32:BK32))</f>
        <v>0</v>
      </c>
      <c r="BM32" t="e">
        <f>IF(Karakterlap!$F$3&gt;18,IF((Karakterlap!$F$3-IF(BB32&gt;18,BB32,18))&gt;0,Karakterlap!$F$3-IF(BB32&gt;18,BB32,18),0),0)+IF(Karakterlap!$F$4&gt;18,IF((Karakterlap!$F$4-IF(BC32&gt;18,BC32,18))&gt;0,Karakterlap!$F$4-IF(BC32&gt;18,BC32,18),0),0)+IF(Karakterlap!$F$5&gt;18,IF((Karakterlap!$F$5-IF(BD32&gt;18,BD32,18))&gt;0,Karakterlap!$F$5-IF(BD32&gt;18,BD32,18),0),0)+IF(Karakterlap!$F$6&gt;18,IF((Karakterlap!$F$6-IF(BE32&gt;18,BE32,18))&gt;0,Karakterlap!$F$6-IF(BE32&gt;18,BE32,18),0),0)+IF(Karakterlap!$F$7&gt;18,IF((Karakterlap!$F$7-IF(BF32&gt;18,BF32,18))&gt;0,Karakterlap!$F$7-IF(BF32&gt;18,BF32,18),0),0)+IF(Karakterlap!$F$8&gt;18,IF((Karakterlap!$F$8-IF(BG32&gt;18,BG32,18))&gt;0,Karakterlap!$F$8-IF(BG32&gt;18,BG32,18),0),0)+IF(Karakterlap!$F$9&gt;18,IF((Karakterlap!$F$9-IF(BH32&gt;18,BH32,18))&gt;0,Karakterlap!$F$9-IF(BH32&gt;18,BH32,18),0),0)+IF(Karakterlap!$F$10&gt;18,IF((Karakterlap!$F$10-IF(BI32&gt;18,BI32,18))&gt;0,Karakterlap!$F$10-IF(BI32&gt;18,BI32,18),0),0)+IF(Karakterlap!$F$11&gt;18,IF((Karakterlap!$F$11-IF(BJ32&gt;18,BJ32,18))&gt;0,Karakterlap!$F$11-IF(BJ32&gt;18,BJ32,18),0),0)+IF(Karakterlap!$F$12&gt;18,IF((Karakterlap!$F$12-IF(BK32&gt;18,BK32,18))&gt;0,Karakterlap!$F$12-IF(BK32&gt;18,BK32,18),0),0)</f>
        <v>#VALUE!</v>
      </c>
    </row>
    <row r="33" spans="1:65" x14ac:dyDescent="0.25">
      <c r="A33" s="46" t="s">
        <v>261</v>
      </c>
      <c r="B33" s="6">
        <v>220</v>
      </c>
      <c r="C33" s="1">
        <v>1</v>
      </c>
      <c r="D33" s="1">
        <v>1</v>
      </c>
      <c r="E33" s="1"/>
      <c r="F33" s="1"/>
      <c r="G33" s="1"/>
      <c r="H33" s="1">
        <v>3</v>
      </c>
      <c r="I33" s="1"/>
      <c r="J33" s="48">
        <v>-1</v>
      </c>
      <c r="L33" t="s">
        <v>222</v>
      </c>
      <c r="M33">
        <v>0</v>
      </c>
      <c r="N33">
        <v>161</v>
      </c>
      <c r="O33">
        <v>321</v>
      </c>
      <c r="P33">
        <v>641</v>
      </c>
      <c r="Q33">
        <v>1441</v>
      </c>
      <c r="R33">
        <v>2801</v>
      </c>
      <c r="S33">
        <v>5601</v>
      </c>
      <c r="T33">
        <v>10001</v>
      </c>
      <c r="U33">
        <v>20001</v>
      </c>
      <c r="V33">
        <v>40001</v>
      </c>
      <c r="W33">
        <v>60001</v>
      </c>
      <c r="X33">
        <v>80001</v>
      </c>
      <c r="Y33">
        <f>IFERROR(IF(VLOOKUP(L33,Karakterlap!$P$3:$Z$4,10,FALSE)&gt;13,112001+((VLOOKUP(L33,Karakterlap!$P$3:$Z$4,10,FALSE)-13)*31200),112001),112001)</f>
        <v>112001</v>
      </c>
      <c r="Z33">
        <v>9</v>
      </c>
      <c r="AA33">
        <v>20</v>
      </c>
      <c r="AB33">
        <v>75</v>
      </c>
      <c r="AC33">
        <v>0</v>
      </c>
      <c r="AD33">
        <f>IFERROR(VLOOKUP(L33,Karakterlap!$P$3:$Z$4,10,FALSE)*11,11)</f>
        <v>11</v>
      </c>
      <c r="AE33">
        <f>IFERROR(IF(Karakterlap!$P$5="Váltott kaszt",IF(Karakterlap!$P$3=Adattábla!$L33,Karakterlap!$Y$3*3,IF(Karakterlap!$P$4=Adattábla!$L33,(Karakterlap!$Y$4-Adattábla!$I$20)*3,3)),VLOOKUP(Adattábla!$L33,Karakterlap!$P$3:$Z$4,10,FALSE)*3),3)</f>
        <v>3</v>
      </c>
      <c r="AF33">
        <f>IFERROR(IF(Karakterlap!$P$5="Váltott kaszt",IF(Karakterlap!$P$3=Adattábla!$L33,Karakterlap!$Y$3*3,IF(Karakterlap!$P$4=Adattábla!$L33,(Karakterlap!$Y$4-Adattábla!$I$20)*3,3)),VLOOKUP(Adattábla!$L33,Karakterlap!$P$3:$Z$4,10,FALSE)*3),3)</f>
        <v>3</v>
      </c>
      <c r="AG33">
        <v>10</v>
      </c>
      <c r="AH33">
        <f>IF(Karakterlap!$P$5="Iker kaszt",IF(Karakterlap!$P$3=L33,IFERROR((Karakterlap!$P$6*10)+(VLOOKUP(L33,Karakterlap!$P$3:$Z$4,10,FALSE)-Karakterlap!$P$6),10),IF(Karakterlap!$P$4=L33,VLOOKUP(L33,Karakterlap!$P$3:$Z$4,10,FALSE),10)),IF(Karakterlap!$P$5="Váltott kaszt",IF(L33=Karakterlap!$P$3,(Karakterlap!$Y$3+3)*10,VLOOKUP(L33,Karakterlap!$P$3:$Z$4,10,FALSE)*10),IFERROR(VLOOKUP(L33,Karakterlap!$P$3:$Z$4,10,FALSE)*10,10)))</f>
        <v>10</v>
      </c>
      <c r="AI33">
        <v>0</v>
      </c>
      <c r="AJ33">
        <v>7</v>
      </c>
      <c r="AK33">
        <v>6</v>
      </c>
      <c r="AL33">
        <f>IFERROR(VLOOKUP(L33,Karakterlap!$P$3:$Z$4,10,FALSE)*($E$18+4),$E$18+4)</f>
        <v>10</v>
      </c>
      <c r="AN33" t="s">
        <v>115</v>
      </c>
      <c r="AQ33" s="17">
        <v>15</v>
      </c>
      <c r="AR33" s="17">
        <v>20</v>
      </c>
      <c r="AS33" s="17">
        <v>10</v>
      </c>
      <c r="BA33">
        <f>IFERROR(IF(Karakterlap!$P$6&gt;13,112001+((Karakterlap!$P$6-13)*31200),112001),112001)</f>
        <v>112001</v>
      </c>
      <c r="BB33" s="40">
        <f>VLOOKUP("k6+12",$I$2:$J$11,2,FALSE)+IFERROR(VLOOKUP(Karakterlap!$V$7,$A$24:$C$33,3,FALSE),0)</f>
        <v>16</v>
      </c>
      <c r="BC33" s="40">
        <f>VLOOKUP("k10+8",$I$2:$J$11,2,FALSE)+IFERROR(VLOOKUP(Karakterlap!$V$7,$A$24:$D$33,4,FALSE),0)</f>
        <v>14</v>
      </c>
      <c r="BD33" s="40">
        <f>VLOOKUP("2k6+6",$I$2:$J$11,2,FALSE)+IFERROR(VLOOKUP(Karakterlap!$V$7,$A$24:$E$33,5,FALSE),0)</f>
        <v>13</v>
      </c>
      <c r="BE33" s="40">
        <f>VLOOKUP("2k6+6",$I$2:$J$11,2,FALSE)+IFERROR(VLOOKUP(Karakterlap!$V$7,$A$24:$F$33,6,FALSE),0)</f>
        <v>13</v>
      </c>
      <c r="BF33" s="40">
        <f>VLOOKUP("k10+10",$I$2:$J$11,2,FALSE)+IFERROR(VLOOKUP(Karakterlap!$V$7,$A$24:$G$33,7,FALSE),0)</f>
        <v>16</v>
      </c>
      <c r="BG33" s="40">
        <f>VLOOKUP("3k6(2x)",$I$2:$J$11,2,FALSE)+IFERROR(VLOOKUP(Karakterlap!$V$7,$A$24:$H$33,8,FALSE),0)</f>
        <v>11</v>
      </c>
      <c r="BH33" s="40">
        <f>VLOOKUP("3k6(2x)",$I$2:$J$11,2,FALSE)+IFERROR(VLOOKUP(Karakterlap!$V$7,$A$24:$I$33,9,FALSE),0)</f>
        <v>11</v>
      </c>
      <c r="BI33" s="40">
        <f t="shared" si="0"/>
        <v>13</v>
      </c>
      <c r="BJ33" s="40">
        <f>VLOOKUP("3k6(2x)",$I$2:$J$11,2,FALSE)+IFERROR(VLOOKUP(Karakterlap!$V$7,$A$24:$J$33,10,FALSE),0)</f>
        <v>11</v>
      </c>
      <c r="BK33" s="40">
        <f t="shared" si="1"/>
        <v>13</v>
      </c>
      <c r="BL33" s="40">
        <f>IF((SUM(Karakterlap!$F$3:$F$12)-SUM(BB33:BK33))&lt;0,0,SUM(Karakterlap!$F$3:$F$12)-SUM(BB33:BK33))</f>
        <v>0</v>
      </c>
      <c r="BM33" t="e">
        <f>IF(Karakterlap!$F$3&gt;18,IF((Karakterlap!$F$3-IF(BB33&gt;18,BB33,18))&gt;0,Karakterlap!$F$3-IF(BB33&gt;18,BB33,18),0),0)+IF(Karakterlap!$F$4&gt;18,IF((Karakterlap!$F$4-IF(BC33&gt;18,BC33,18))&gt;0,Karakterlap!$F$4-IF(BC33&gt;18,BC33,18),0),0)+IF(Karakterlap!$F$5&gt;18,IF((Karakterlap!$F$5-IF(BD33&gt;18,BD33,18))&gt;0,Karakterlap!$F$5-IF(BD33&gt;18,BD33,18),0),0)+IF(Karakterlap!$F$6&gt;18,IF((Karakterlap!$F$6-IF(BE33&gt;18,BE33,18))&gt;0,Karakterlap!$F$6-IF(BE33&gt;18,BE33,18),0),0)+IF(Karakterlap!$F$7&gt;18,IF((Karakterlap!$F$7-IF(BF33&gt;18,BF33,18))&gt;0,Karakterlap!$F$7-IF(BF33&gt;18,BF33,18),0),0)+IF(Karakterlap!$F$8&gt;18,IF((Karakterlap!$F$8-IF(BG33&gt;18,BG33,18))&gt;0,Karakterlap!$F$8-IF(BG33&gt;18,BG33,18),0),0)+IF(Karakterlap!$F$9&gt;18,IF((Karakterlap!$F$9-IF(BH33&gt;18,BH33,18))&gt;0,Karakterlap!$F$9-IF(BH33&gt;18,BH33,18),0),0)+IF(Karakterlap!$F$10&gt;18,IF((Karakterlap!$F$10-IF(BI33&gt;18,BI33,18))&gt;0,Karakterlap!$F$10-IF(BI33&gt;18,BI33,18),0),0)+IF(Karakterlap!$F$11&gt;18,IF((Karakterlap!$F$11-IF(BJ33&gt;18,BJ33,18))&gt;0,Karakterlap!$F$11-IF(BJ33&gt;18,BJ33,18),0),0)+IF(Karakterlap!$F$12&gt;18,IF((Karakterlap!$F$12-IF(BK33&gt;18,BK33,18))&gt;0,Karakterlap!$F$12-IF(BK33&gt;18,BK33,18),0),0)</f>
        <v>#VALUE!</v>
      </c>
    </row>
    <row r="34" spans="1:65" x14ac:dyDescent="0.25">
      <c r="A34" s="46"/>
      <c r="B34" s="1"/>
      <c r="C34" s="1"/>
      <c r="D34" s="1"/>
      <c r="E34" s="1"/>
      <c r="F34" s="1"/>
      <c r="G34" s="1"/>
      <c r="H34" s="1"/>
      <c r="I34" s="1"/>
      <c r="J34" s="48"/>
      <c r="L34" t="s">
        <v>223</v>
      </c>
      <c r="M34">
        <v>0</v>
      </c>
      <c r="N34">
        <v>161</v>
      </c>
      <c r="O34">
        <v>321</v>
      </c>
      <c r="P34">
        <v>641</v>
      </c>
      <c r="Q34">
        <v>1441</v>
      </c>
      <c r="R34">
        <v>2801</v>
      </c>
      <c r="S34">
        <v>5601</v>
      </c>
      <c r="T34">
        <v>10001</v>
      </c>
      <c r="U34">
        <v>20001</v>
      </c>
      <c r="V34">
        <v>40001</v>
      </c>
      <c r="W34">
        <v>60001</v>
      </c>
      <c r="X34">
        <v>80001</v>
      </c>
      <c r="Y34">
        <f>IFERROR(IF(VLOOKUP(L34,Karakterlap!$P$3:$Z$4,10,FALSE)&gt;13,112001+((VLOOKUP(L34,Karakterlap!$P$3:$Z$4,10,FALSE)-13)*31200),112001),112001)</f>
        <v>112001</v>
      </c>
      <c r="Z34">
        <v>9</v>
      </c>
      <c r="AA34">
        <v>20</v>
      </c>
      <c r="AB34">
        <v>75</v>
      </c>
      <c r="AC34">
        <v>0</v>
      </c>
      <c r="AD34">
        <f>IFERROR(VLOOKUP(L34,Karakterlap!$P$3:$Z$4,10,FALSE)*11,11)</f>
        <v>11</v>
      </c>
      <c r="AE34">
        <f>IFERROR(IF(Karakterlap!$P$5="Váltott kaszt",IF(Karakterlap!$P$3=Adattábla!$L34,Karakterlap!$Y$3*3,IF(Karakterlap!$P$4=Adattábla!$L34,(Karakterlap!$Y$4-Adattábla!$I$20)*3,3)),VLOOKUP(Adattábla!$L34,Karakterlap!$P$3:$Z$4,10,FALSE)*3),3)</f>
        <v>3</v>
      </c>
      <c r="AF34">
        <f>IFERROR(IF(Karakterlap!$P$5="Váltott kaszt",IF(Karakterlap!$P$3=Adattábla!$L34,Karakterlap!$Y$3*3,IF(Karakterlap!$P$4=Adattábla!$L34,(Karakterlap!$Y$4-Adattábla!$I$20)*3,3)),VLOOKUP(Adattábla!$L34,Karakterlap!$P$3:$Z$4,10,FALSE)*3),3)</f>
        <v>3</v>
      </c>
      <c r="AG34">
        <v>10</v>
      </c>
      <c r="AH34">
        <f>IF(Karakterlap!$P$5="Iker kaszt",IF(Karakterlap!$P$3=L34,IFERROR((Karakterlap!$P$6*14)+(VLOOKUP(L34,Karakterlap!$P$3:$Z$4,10,FALSE)-Karakterlap!$P$6),14),IF(Karakterlap!$P$4=L34,VLOOKUP(L34,Karakterlap!$P$3:$Z$4,10,FALSE),14)),IF(Karakterlap!$P$5="Váltott kaszt",IF(L34=Karakterlap!$P$3,(Karakterlap!$Y$3+3)*14,VLOOKUP(L34,Karakterlap!$P$3:$Z$4,10,FALSE)*14),IFERROR(VLOOKUP(L34,Karakterlap!$P$3:$Z$4,10,FALSE)*14,14)))</f>
        <v>14</v>
      </c>
      <c r="AI34">
        <v>0</v>
      </c>
      <c r="AJ34">
        <v>7</v>
      </c>
      <c r="AK34">
        <v>6</v>
      </c>
      <c r="AL34">
        <f>IFERROR(VLOOKUP(L34,Karakterlap!$P$3:$Z$4,10,FALSE)*($E$18+4),$E$18+4)</f>
        <v>10</v>
      </c>
      <c r="AN34" t="s">
        <v>115</v>
      </c>
      <c r="AQ34" s="17">
        <v>15</v>
      </c>
      <c r="AR34" s="17">
        <v>20</v>
      </c>
      <c r="AS34" s="17">
        <v>10</v>
      </c>
      <c r="BA34">
        <f>IFERROR(IF(Karakterlap!$P$6&gt;13,112001+((Karakterlap!$P$6-13)*31200),112001),112001)</f>
        <v>112001</v>
      </c>
      <c r="BB34" s="40">
        <f>VLOOKUP("k6+12",$I$2:$J$11,2,FALSE)+IFERROR(VLOOKUP(Karakterlap!$V$7,$A$24:$C$33,3,FALSE),0)</f>
        <v>16</v>
      </c>
      <c r="BC34" s="40">
        <f>VLOOKUP("k10+8",$I$2:$J$11,2,FALSE)+IFERROR(VLOOKUP(Karakterlap!$V$7,$A$24:$D$33,4,FALSE),0)</f>
        <v>14</v>
      </c>
      <c r="BD34" s="40">
        <f>VLOOKUP("2k6+6",$I$2:$J$11,2,FALSE)+IFERROR(VLOOKUP(Karakterlap!$V$7,$A$24:$E$33,5,FALSE),0)</f>
        <v>13</v>
      </c>
      <c r="BE34" s="40">
        <f>VLOOKUP("2k6+6",$I$2:$J$11,2,FALSE)+IFERROR(VLOOKUP(Karakterlap!$V$7,$A$24:$F$33,6,FALSE),0)</f>
        <v>13</v>
      </c>
      <c r="BF34" s="40">
        <f>VLOOKUP("k10+10",$I$2:$J$11,2,FALSE)+IFERROR(VLOOKUP(Karakterlap!$V$7,$A$24:$G$33,7,FALSE),0)</f>
        <v>16</v>
      </c>
      <c r="BG34" s="40">
        <f>VLOOKUP("3k6(2x)",$I$2:$J$11,2,FALSE)+IFERROR(VLOOKUP(Karakterlap!$V$7,$A$24:$H$33,8,FALSE),0)</f>
        <v>11</v>
      </c>
      <c r="BH34" s="40">
        <f>VLOOKUP("3k6(2x)",$I$2:$J$11,2,FALSE)+IFERROR(VLOOKUP(Karakterlap!$V$7,$A$24:$I$33,9,FALSE),0)</f>
        <v>11</v>
      </c>
      <c r="BI34" s="40">
        <f t="shared" si="0"/>
        <v>13</v>
      </c>
      <c r="BJ34" s="40">
        <f>VLOOKUP("3k6(2x)",$I$2:$J$11,2,FALSE)+IFERROR(VLOOKUP(Karakterlap!$V$7,$A$24:$J$33,10,FALSE),0)</f>
        <v>11</v>
      </c>
      <c r="BK34" s="40">
        <f t="shared" si="1"/>
        <v>13</v>
      </c>
      <c r="BL34" s="40">
        <f>IF((SUM(Karakterlap!$F$3:$F$12)-SUM(BB34:BK34))&lt;0,0,SUM(Karakterlap!$F$3:$F$12)-SUM(BB34:BK34))</f>
        <v>0</v>
      </c>
      <c r="BM34" t="e">
        <f>IF(Karakterlap!$F$3&gt;18,IF((Karakterlap!$F$3-IF(BB34&gt;18,BB34,18))&gt;0,Karakterlap!$F$3-IF(BB34&gt;18,BB34,18),0),0)+IF(Karakterlap!$F$4&gt;18,IF((Karakterlap!$F$4-IF(BC34&gt;18,BC34,18))&gt;0,Karakterlap!$F$4-IF(BC34&gt;18,BC34,18),0),0)+IF(Karakterlap!$F$5&gt;18,IF((Karakterlap!$F$5-IF(BD34&gt;18,BD34,18))&gt;0,Karakterlap!$F$5-IF(BD34&gt;18,BD34,18),0),0)+IF(Karakterlap!$F$6&gt;18,IF((Karakterlap!$F$6-IF(BE34&gt;18,BE34,18))&gt;0,Karakterlap!$F$6-IF(BE34&gt;18,BE34,18),0),0)+IF(Karakterlap!$F$7&gt;18,IF((Karakterlap!$F$7-IF(BF34&gt;18,BF34,18))&gt;0,Karakterlap!$F$7-IF(BF34&gt;18,BF34,18),0),0)+IF(Karakterlap!$F$8&gt;18,IF((Karakterlap!$F$8-IF(BG34&gt;18,BG34,18))&gt;0,Karakterlap!$F$8-IF(BG34&gt;18,BG34,18),0),0)+IF(Karakterlap!$F$9&gt;18,IF((Karakterlap!$F$9-IF(BH34&gt;18,BH34,18))&gt;0,Karakterlap!$F$9-IF(BH34&gt;18,BH34,18),0),0)+IF(Karakterlap!$F$10&gt;18,IF((Karakterlap!$F$10-IF(BI34&gt;18,BI34,18))&gt;0,Karakterlap!$F$10-IF(BI34&gt;18,BI34,18),0),0)+IF(Karakterlap!$F$11&gt;18,IF((Karakterlap!$F$11-IF(BJ34&gt;18,BJ34,18))&gt;0,Karakterlap!$F$11-IF(BJ34&gt;18,BJ34,18),0),0)+IF(Karakterlap!$F$12&gt;18,IF((Karakterlap!$F$12-IF(BK34&gt;18,BK34,18))&gt;0,Karakterlap!$F$12-IF(BK34&gt;18,BK34,18),0),0)</f>
        <v>#VALUE!</v>
      </c>
    </row>
    <row r="35" spans="1:65" x14ac:dyDescent="0.25">
      <c r="A35" s="46"/>
      <c r="B35" s="1"/>
      <c r="C35" s="1"/>
      <c r="D35" s="1"/>
      <c r="E35" s="1"/>
      <c r="F35" s="1"/>
      <c r="G35" s="1"/>
      <c r="H35" s="1"/>
      <c r="I35" s="1"/>
      <c r="J35" s="48"/>
      <c r="L35" t="s">
        <v>224</v>
      </c>
      <c r="M35">
        <v>0</v>
      </c>
      <c r="N35">
        <v>161</v>
      </c>
      <c r="O35">
        <v>321</v>
      </c>
      <c r="P35">
        <v>641</v>
      </c>
      <c r="Q35">
        <v>1441</v>
      </c>
      <c r="R35">
        <v>2801</v>
      </c>
      <c r="S35">
        <v>5601</v>
      </c>
      <c r="T35">
        <v>10001</v>
      </c>
      <c r="U35">
        <v>20001</v>
      </c>
      <c r="V35">
        <v>40001</v>
      </c>
      <c r="W35">
        <v>60001</v>
      </c>
      <c r="X35">
        <v>80001</v>
      </c>
      <c r="Y35">
        <f>IFERROR(IF(VLOOKUP(L35,Karakterlap!$P$3:$Z$4,10,FALSE)&gt;13,112001+((VLOOKUP(L35,Karakterlap!$P$3:$Z$4,10,FALSE)-13)*31200),112001),112001)</f>
        <v>112001</v>
      </c>
      <c r="Z35">
        <v>9</v>
      </c>
      <c r="AA35">
        <v>20</v>
      </c>
      <c r="AB35">
        <v>75</v>
      </c>
      <c r="AC35">
        <v>0</v>
      </c>
      <c r="AD35">
        <f>IFERROR(VLOOKUP(L35,Karakterlap!$P$3:$Z$4,10,FALSE)*11,11)</f>
        <v>11</v>
      </c>
      <c r="AE35">
        <f>IFERROR(IF(Karakterlap!$P$5="Váltott kaszt",IF(Karakterlap!$P$3=Adattábla!$L35,Karakterlap!$Y$3*3,IF(Karakterlap!$P$4=Adattábla!$L35,(Karakterlap!$Y$4-Adattábla!$I$20)*3,3)),VLOOKUP(Adattábla!$L35,Karakterlap!$P$3:$Z$4,10,FALSE)*3),3)</f>
        <v>3</v>
      </c>
      <c r="AF35">
        <f>IFERROR(IF(Karakterlap!$P$5="Váltott kaszt",IF(Karakterlap!$P$3=Adattábla!$L35,Karakterlap!$Y$3*3,IF(Karakterlap!$P$4=Adattábla!$L35,(Karakterlap!$Y$4-Adattábla!$I$20)*3,3)),VLOOKUP(Adattábla!$L35,Karakterlap!$P$3:$Z$4,10,FALSE)*3),3)</f>
        <v>3</v>
      </c>
      <c r="AG35">
        <v>6</v>
      </c>
      <c r="AH35">
        <f>IF(Karakterlap!$P$5="Iker kaszt",IF(Karakterlap!$P$3=L35,IFERROR((Karakterlap!$P$6*8)+(VLOOKUP(L35,Karakterlap!$P$3:$Z$4,10,FALSE)-Karakterlap!$P$6),8),IF(Karakterlap!$P$4=L35,VLOOKUP(L35,Karakterlap!$P$3:$Z$4,10,FALSE),8)),IF(Karakterlap!$P$5="Váltott kaszt",IF(L35=Karakterlap!$P$3,(Karakterlap!$Y$3+3)*8,VLOOKUP(L35,Karakterlap!$P$3:$Z$4,10,FALSE)*8),IFERROR(VLOOKUP(L35,Karakterlap!$P$3:$Z$4,10,FALSE)*8,8)))</f>
        <v>8</v>
      </c>
      <c r="AI35">
        <v>0</v>
      </c>
      <c r="AJ35">
        <v>7</v>
      </c>
      <c r="AK35">
        <v>6</v>
      </c>
      <c r="AL35">
        <f>IFERROR(VLOOKUP(L35,Karakterlap!$P$3:$Z$4,10,FALSE)*($E$18+4),$E$18+4)</f>
        <v>10</v>
      </c>
      <c r="AN35" t="s">
        <v>115</v>
      </c>
      <c r="AQ35" s="17">
        <v>15</v>
      </c>
      <c r="AR35" s="17">
        <v>20</v>
      </c>
      <c r="AS35" s="17">
        <v>10</v>
      </c>
      <c r="BA35">
        <f>IFERROR(IF(Karakterlap!$P$6&gt;13,112001+((Karakterlap!$P$6-13)*31200),112001),112001)</f>
        <v>112001</v>
      </c>
      <c r="BB35" s="40">
        <f>VLOOKUP("k6+12",$I$2:$J$11,2,FALSE)+IFERROR(VLOOKUP(Karakterlap!$V$7,$A$24:$C$33,3,FALSE),0)</f>
        <v>16</v>
      </c>
      <c r="BC35" s="40">
        <f>VLOOKUP("k10+8",$I$2:$J$11,2,FALSE)+IFERROR(VLOOKUP(Karakterlap!$V$7,$A$24:$D$33,4,FALSE),0)</f>
        <v>14</v>
      </c>
      <c r="BD35" s="40">
        <f>VLOOKUP("2k6+6",$I$2:$J$11,2,FALSE)+IFERROR(VLOOKUP(Karakterlap!$V$7,$A$24:$E$33,5,FALSE),0)</f>
        <v>13</v>
      </c>
      <c r="BE35" s="40">
        <f>VLOOKUP("2k6+6",$I$2:$J$11,2,FALSE)+IFERROR(VLOOKUP(Karakterlap!$V$7,$A$24:$F$33,6,FALSE),0)</f>
        <v>13</v>
      </c>
      <c r="BF35" s="40">
        <f>VLOOKUP("k10+10",$I$2:$J$11,2,FALSE)+IFERROR(VLOOKUP(Karakterlap!$V$7,$A$24:$G$33,7,FALSE),0)</f>
        <v>16</v>
      </c>
      <c r="BG35" s="40">
        <f>VLOOKUP("3k6(2x)",$I$2:$J$11,2,FALSE)+IFERROR(VLOOKUP(Karakterlap!$V$7,$A$24:$H$33,8,FALSE),0)</f>
        <v>11</v>
      </c>
      <c r="BH35" s="40">
        <f>VLOOKUP("3k6(2x)",$I$2:$J$11,2,FALSE)+IFERROR(VLOOKUP(Karakterlap!$V$7,$A$24:$I$33,9,FALSE),0)</f>
        <v>11</v>
      </c>
      <c r="BI35" s="40">
        <f t="shared" si="0"/>
        <v>13</v>
      </c>
      <c r="BJ35" s="40">
        <f>VLOOKUP("3k6(2x)",$I$2:$J$11,2,FALSE)+IFERROR(VLOOKUP(Karakterlap!$V$7,$A$24:$J$33,10,FALSE),0)</f>
        <v>11</v>
      </c>
      <c r="BK35" s="40">
        <f t="shared" si="1"/>
        <v>13</v>
      </c>
      <c r="BL35" s="40">
        <f>IF((SUM(Karakterlap!$F$3:$F$12)-SUM(BB35:BK35))&lt;0,0,SUM(Karakterlap!$F$3:$F$12)-SUM(BB35:BK35))</f>
        <v>0</v>
      </c>
      <c r="BM35" t="e">
        <f>IF(Karakterlap!$F$3&gt;18,IF((Karakterlap!$F$3-IF(BB35&gt;18,BB35,18))&gt;0,Karakterlap!$F$3-IF(BB35&gt;18,BB35,18),0),0)+IF(Karakterlap!$F$4&gt;18,IF((Karakterlap!$F$4-IF(BC35&gt;18,BC35,18))&gt;0,Karakterlap!$F$4-IF(BC35&gt;18,BC35,18),0),0)+IF(Karakterlap!$F$5&gt;18,IF((Karakterlap!$F$5-IF(BD35&gt;18,BD35,18))&gt;0,Karakterlap!$F$5-IF(BD35&gt;18,BD35,18),0),0)+IF(Karakterlap!$F$6&gt;18,IF((Karakterlap!$F$6-IF(BE35&gt;18,BE35,18))&gt;0,Karakterlap!$F$6-IF(BE35&gt;18,BE35,18),0),0)+IF(Karakterlap!$F$7&gt;18,IF((Karakterlap!$F$7-IF(BF35&gt;18,BF35,18))&gt;0,Karakterlap!$F$7-IF(BF35&gt;18,BF35,18),0),0)+IF(Karakterlap!$F$8&gt;18,IF((Karakterlap!$F$8-IF(BG35&gt;18,BG35,18))&gt;0,Karakterlap!$F$8-IF(BG35&gt;18,BG35,18),0),0)+IF(Karakterlap!$F$9&gt;18,IF((Karakterlap!$F$9-IF(BH35&gt;18,BH35,18))&gt;0,Karakterlap!$F$9-IF(BH35&gt;18,BH35,18),0),0)+IF(Karakterlap!$F$10&gt;18,IF((Karakterlap!$F$10-IF(BI35&gt;18,BI35,18))&gt;0,Karakterlap!$F$10-IF(BI35&gt;18,BI35,18),0),0)+IF(Karakterlap!$F$11&gt;18,IF((Karakterlap!$F$11-IF(BJ35&gt;18,BJ35,18))&gt;0,Karakterlap!$F$11-IF(BJ35&gt;18,BJ35,18),0),0)+IF(Karakterlap!$F$12&gt;18,IF((Karakterlap!$F$12-IF(BK35&gt;18,BK35,18))&gt;0,Karakterlap!$F$12-IF(BK35&gt;18,BK35,18),0),0)</f>
        <v>#VALUE!</v>
      </c>
    </row>
    <row r="36" spans="1:65" x14ac:dyDescent="0.25">
      <c r="A36" s="46"/>
      <c r="B36" s="1"/>
      <c r="C36" s="1"/>
      <c r="D36" s="1"/>
      <c r="E36" s="1"/>
      <c r="F36" s="1"/>
      <c r="G36" s="1"/>
      <c r="H36" s="1"/>
      <c r="I36" s="1"/>
      <c r="J36" s="48"/>
      <c r="L36" t="s">
        <v>225</v>
      </c>
      <c r="M36">
        <v>0</v>
      </c>
      <c r="N36">
        <v>161</v>
      </c>
      <c r="O36">
        <v>321</v>
      </c>
      <c r="P36">
        <v>641</v>
      </c>
      <c r="Q36">
        <v>1441</v>
      </c>
      <c r="R36">
        <v>2801</v>
      </c>
      <c r="S36">
        <v>5601</v>
      </c>
      <c r="T36">
        <v>10001</v>
      </c>
      <c r="U36">
        <v>20001</v>
      </c>
      <c r="V36">
        <v>40001</v>
      </c>
      <c r="W36">
        <v>60001</v>
      </c>
      <c r="X36">
        <v>80001</v>
      </c>
      <c r="Y36">
        <f>IFERROR(IF(VLOOKUP(L36,Karakterlap!$P$3:$Z$4,10,FALSE)&gt;13,112001+((VLOOKUP(L36,Karakterlap!$P$3:$Z$4,10,FALSE)-13)*31200),112001),112001)</f>
        <v>112001</v>
      </c>
      <c r="Z36">
        <v>9</v>
      </c>
      <c r="AA36">
        <v>20</v>
      </c>
      <c r="AB36">
        <v>75</v>
      </c>
      <c r="AC36">
        <v>25</v>
      </c>
      <c r="AD36">
        <f>IFERROR(VLOOKUP(L36,Karakterlap!$P$3:$Z$4,10,FALSE)*11,11)</f>
        <v>11</v>
      </c>
      <c r="AE36">
        <f>IFERROR(IF(Karakterlap!$P$5="Váltott kaszt",IF(Karakterlap!$P$3=Adattábla!$L36,Karakterlap!$Y$3*3,IF(Karakterlap!$P$4=Adattábla!$L36,(Karakterlap!$Y$4-Adattábla!$I$20)*3,3)),VLOOKUP(Adattábla!$L36,Karakterlap!$P$3:$Z$4,10,FALSE)*3),3)</f>
        <v>3</v>
      </c>
      <c r="AF36">
        <f>IFERROR(IF(Karakterlap!$P$5="Váltott kaszt",IF(Karakterlap!$P$3=Adattábla!$L36,Karakterlap!$Y$3*3,IF(Karakterlap!$P$4=Adattábla!$L36,(Karakterlap!$Y$4-Adattábla!$I$20)*3,3)),VLOOKUP(Adattábla!$L36,Karakterlap!$P$3:$Z$4,10,FALSE)*3),3)</f>
        <v>3</v>
      </c>
      <c r="AG36">
        <v>5</v>
      </c>
      <c r="AH36">
        <f>IF(Karakterlap!$P$5="Iker kaszt",IF(Karakterlap!$P$3=L36,IFERROR((Karakterlap!$P$6*7)+(VLOOKUP(L36,Karakterlap!$P$3:$Z$4,10,FALSE)-Karakterlap!$P$6),7),IF(Karakterlap!$P$4=L36,VLOOKUP(L36,Karakterlap!$P$3:$Z$4,10,FALSE),7)),IF(Karakterlap!$P$5="Váltott kaszt",IF(L36=Karakterlap!$P$3,(Karakterlap!$Y$3+3)*7,VLOOKUP(L36,Karakterlap!$P$3:$Z$4,10,FALSE)*7),IFERROR(VLOOKUP(L36,Karakterlap!$P$3:$Z$4,10,FALSE)*7,7)))</f>
        <v>7</v>
      </c>
      <c r="AI36">
        <v>0</v>
      </c>
      <c r="AJ36">
        <v>7</v>
      </c>
      <c r="AK36">
        <v>6</v>
      </c>
      <c r="AL36">
        <f>IFERROR(VLOOKUP(L36,Karakterlap!$P$3:$Z$4,10,FALSE)*($E$18+4),$E$18+4)</f>
        <v>10</v>
      </c>
      <c r="AN36" t="s">
        <v>115</v>
      </c>
      <c r="AQ36" s="17">
        <v>15</v>
      </c>
      <c r="AR36" s="17">
        <v>20</v>
      </c>
      <c r="AS36" s="17">
        <v>10</v>
      </c>
      <c r="BA36">
        <f>IFERROR(IF(Karakterlap!$P$6&gt;13,112001+((Karakterlap!$P$6-13)*31200),112001),112001)</f>
        <v>112001</v>
      </c>
      <c r="BB36" s="40">
        <f>VLOOKUP("k6+12",$I$2:$J$11,2,FALSE)+IFERROR(VLOOKUP(Karakterlap!$V$7,$A$24:$C$33,3,FALSE),0)</f>
        <v>16</v>
      </c>
      <c r="BC36" s="40">
        <f>VLOOKUP("k10+8",$I$2:$J$11,2,FALSE)+IFERROR(VLOOKUP(Karakterlap!$V$7,$A$24:$D$33,4,FALSE),0)</f>
        <v>14</v>
      </c>
      <c r="BD36" s="40">
        <f>VLOOKUP("2k6+6",$I$2:$J$11,2,FALSE)+IFERROR(VLOOKUP(Karakterlap!$V$7,$A$24:$E$33,5,FALSE),0)</f>
        <v>13</v>
      </c>
      <c r="BE36" s="40">
        <f>VLOOKUP("2k6+6",$I$2:$J$11,2,FALSE)+IFERROR(VLOOKUP(Karakterlap!$V$7,$A$24:$F$33,6,FALSE),0)</f>
        <v>13</v>
      </c>
      <c r="BF36" s="40">
        <f>VLOOKUP("k10+10",$I$2:$J$11,2,FALSE)+IFERROR(VLOOKUP(Karakterlap!$V$7,$A$24:$G$33,7,FALSE),0)</f>
        <v>16</v>
      </c>
      <c r="BG36" s="40">
        <f>VLOOKUP("3k6(2x)",$I$2:$J$11,2,FALSE)+IFERROR(VLOOKUP(Karakterlap!$V$7,$A$24:$H$33,8,FALSE),0)</f>
        <v>11</v>
      </c>
      <c r="BH36" s="40">
        <f>VLOOKUP("3k6(2x)",$I$2:$J$11,2,FALSE)+IFERROR(VLOOKUP(Karakterlap!$V$7,$A$24:$I$33,9,FALSE),0)</f>
        <v>11</v>
      </c>
      <c r="BI36" s="40">
        <f t="shared" si="0"/>
        <v>13</v>
      </c>
      <c r="BJ36" s="40">
        <f>VLOOKUP("3k6(2x)",$I$2:$J$11,2,FALSE)+IFERROR(VLOOKUP(Karakterlap!$V$7,$A$24:$J$33,10,FALSE),0)</f>
        <v>11</v>
      </c>
      <c r="BK36" s="40">
        <f t="shared" si="1"/>
        <v>13</v>
      </c>
      <c r="BL36" s="40">
        <f>IF((SUM(Karakterlap!$F$3:$F$12)-SUM(BB36:BK36))&lt;0,0,SUM(Karakterlap!$F$3:$F$12)-SUM(BB36:BK36))</f>
        <v>0</v>
      </c>
      <c r="BM36" t="e">
        <f>IF(Karakterlap!$F$3&gt;18,IF((Karakterlap!$F$3-IF(BB36&gt;18,BB36,18))&gt;0,Karakterlap!$F$3-IF(BB36&gt;18,BB36,18),0),0)+IF(Karakterlap!$F$4&gt;18,IF((Karakterlap!$F$4-IF(BC36&gt;18,BC36,18))&gt;0,Karakterlap!$F$4-IF(BC36&gt;18,BC36,18),0),0)+IF(Karakterlap!$F$5&gt;18,IF((Karakterlap!$F$5-IF(BD36&gt;18,BD36,18))&gt;0,Karakterlap!$F$5-IF(BD36&gt;18,BD36,18),0),0)+IF(Karakterlap!$F$6&gt;18,IF((Karakterlap!$F$6-IF(BE36&gt;18,BE36,18))&gt;0,Karakterlap!$F$6-IF(BE36&gt;18,BE36,18),0),0)+IF(Karakterlap!$F$7&gt;18,IF((Karakterlap!$F$7-IF(BF36&gt;18,BF36,18))&gt;0,Karakterlap!$F$7-IF(BF36&gt;18,BF36,18),0),0)+IF(Karakterlap!$F$8&gt;18,IF((Karakterlap!$F$8-IF(BG36&gt;18,BG36,18))&gt;0,Karakterlap!$F$8-IF(BG36&gt;18,BG36,18),0),0)+IF(Karakterlap!$F$9&gt;18,IF((Karakterlap!$F$9-IF(BH36&gt;18,BH36,18))&gt;0,Karakterlap!$F$9-IF(BH36&gt;18,BH36,18),0),0)+IF(Karakterlap!$F$10&gt;18,IF((Karakterlap!$F$10-IF(BI36&gt;18,BI36,18))&gt;0,Karakterlap!$F$10-IF(BI36&gt;18,BI36,18),0),0)+IF(Karakterlap!$F$11&gt;18,IF((Karakterlap!$F$11-IF(BJ36&gt;18,BJ36,18))&gt;0,Karakterlap!$F$11-IF(BJ36&gt;18,BJ36,18),0),0)+IF(Karakterlap!$F$12&gt;18,IF((Karakterlap!$F$12-IF(BK36&gt;18,BK36,18))&gt;0,Karakterlap!$F$12-IF(BK36&gt;18,BK36,18),0),0)</f>
        <v>#VALUE!</v>
      </c>
    </row>
    <row r="37" spans="1:65" ht="15.75" thickBot="1" x14ac:dyDescent="0.3">
      <c r="A37" s="49"/>
      <c r="B37" s="50"/>
      <c r="C37" s="50"/>
      <c r="D37" s="50"/>
      <c r="E37" s="50"/>
      <c r="F37" s="50"/>
      <c r="G37" s="50"/>
      <c r="H37" s="50"/>
      <c r="I37" s="50"/>
      <c r="J37" s="51"/>
      <c r="L37" t="s">
        <v>226</v>
      </c>
      <c r="M37">
        <v>0</v>
      </c>
      <c r="N37">
        <v>161</v>
      </c>
      <c r="O37">
        <v>321</v>
      </c>
      <c r="P37">
        <v>641</v>
      </c>
      <c r="Q37">
        <v>1441</v>
      </c>
      <c r="R37">
        <v>2801</v>
      </c>
      <c r="S37">
        <v>5601</v>
      </c>
      <c r="T37">
        <v>10001</v>
      </c>
      <c r="U37">
        <v>20001</v>
      </c>
      <c r="V37">
        <v>40001</v>
      </c>
      <c r="W37">
        <v>60001</v>
      </c>
      <c r="X37">
        <v>80001</v>
      </c>
      <c r="Y37">
        <f>IFERROR(IF(VLOOKUP(L37,Karakterlap!$P$3:$Z$4,10,FALSE)&gt;13,112001+((VLOOKUP(L37,Karakterlap!$P$3:$Z$4,10,FALSE)-13)*31200),112001),112001)</f>
        <v>112001</v>
      </c>
      <c r="Z37">
        <v>9</v>
      </c>
      <c r="AA37">
        <v>20</v>
      </c>
      <c r="AB37">
        <v>75</v>
      </c>
      <c r="AC37">
        <v>0</v>
      </c>
      <c r="AD37">
        <f>IFERROR(VLOOKUP(L37,Karakterlap!$P$3:$Z$4,10,FALSE)*11,11)</f>
        <v>11</v>
      </c>
      <c r="AE37">
        <f>IFERROR(IF(Karakterlap!$P$5="Váltott kaszt",IF(Karakterlap!$P$3=Adattábla!$L37,Karakterlap!$Y$3*3,IF(Karakterlap!$P$4=Adattábla!$L37,(Karakterlap!$Y$4-Adattábla!$I$20)*3,3)),VLOOKUP(Adattábla!$L37,Karakterlap!$P$3:$Z$4,10,FALSE)*3),3)</f>
        <v>3</v>
      </c>
      <c r="AF37">
        <f>IFERROR(IF(Karakterlap!$P$5="Váltott kaszt",IF(Karakterlap!$P$3=Adattábla!$L37,Karakterlap!$Y$3*3,IF(Karakterlap!$P$4=Adattábla!$L37,(Karakterlap!$Y$4-Adattábla!$I$20)*3,3)),VLOOKUP(Adattábla!$L37,Karakterlap!$P$3:$Z$4,10,FALSE)*3),3)</f>
        <v>3</v>
      </c>
      <c r="AG37">
        <v>10</v>
      </c>
      <c r="AH37">
        <f>IF(Karakterlap!$P$5="Iker kaszt",IF(Karakterlap!$P$3=L37,IFERROR((Karakterlap!$P$6*14)+(VLOOKUP(L37,Karakterlap!$P$3:$Z$4,10,FALSE)-Karakterlap!$P$6),14),IF(Karakterlap!$P$4=L37,VLOOKUP(L37,Karakterlap!$P$3:$Z$4,10,FALSE),14)),IF(Karakterlap!$P$5="Váltott kaszt",IF(L37=Karakterlap!$P$3,(Karakterlap!$Y$3+3)*14,VLOOKUP(L37,Karakterlap!$P$3:$Z$4,10,FALSE)*14),IFERROR(VLOOKUP(L37,Karakterlap!$P$3:$Z$4,10,FALSE)*14,14)))</f>
        <v>14</v>
      </c>
      <c r="AI37">
        <v>0</v>
      </c>
      <c r="AJ37">
        <v>7</v>
      </c>
      <c r="AK37">
        <v>6</v>
      </c>
      <c r="AL37">
        <f>IFERROR(VLOOKUP(L37,Karakterlap!$P$3:$Z$4,10,FALSE)*($E$18+4),$E$18+4)</f>
        <v>10</v>
      </c>
      <c r="AN37" t="s">
        <v>108</v>
      </c>
      <c r="AO37" t="str">
        <f>IFERROR((IF(Karakterlap!$F$9&gt;10,Karakterlap!$F$9-10,0))+4+((VLOOKUP(L37,Karakterlap!$P$3:$Z$4,10,FALSE)-1)*3),"más kaszt")</f>
        <v>más kaszt</v>
      </c>
      <c r="BA37">
        <f>IFERROR(IF(Karakterlap!$P$6&gt;13,112001+((Karakterlap!$P$6-13)*31200),112001),112001)</f>
        <v>112001</v>
      </c>
      <c r="BB37" s="40">
        <f>VLOOKUP("k6+12",$I$2:$J$11,2,FALSE)+IFERROR(VLOOKUP(Karakterlap!$V$7,$A$24:$C$33,3,FALSE),0)</f>
        <v>16</v>
      </c>
      <c r="BC37" s="40">
        <f>VLOOKUP("k10+8",$I$2:$J$11,2,FALSE)+IFERROR(VLOOKUP(Karakterlap!$V$7,$A$24:$D$33,4,FALSE),0)</f>
        <v>14</v>
      </c>
      <c r="BD37" s="40">
        <f>VLOOKUP("2k6+6",$I$2:$J$11,2,FALSE)+IFERROR(VLOOKUP(Karakterlap!$V$7,$A$24:$E$33,5,FALSE),0)</f>
        <v>13</v>
      </c>
      <c r="BE37" s="40">
        <f>VLOOKUP("2k6+6",$I$2:$J$11,2,FALSE)+IFERROR(VLOOKUP(Karakterlap!$V$7,$A$24:$F$33,6,FALSE),0)</f>
        <v>13</v>
      </c>
      <c r="BF37" s="40">
        <f>VLOOKUP("k10+10",$I$2:$J$11,2,FALSE)+IFERROR(VLOOKUP(Karakterlap!$V$7,$A$24:$G$33,7,FALSE),0)</f>
        <v>16</v>
      </c>
      <c r="BG37" s="40">
        <f>VLOOKUP("3k6(2x)",$I$2:$J$11,2,FALSE)+IFERROR(VLOOKUP(Karakterlap!$V$7,$A$24:$H$33,8,FALSE),0)</f>
        <v>11</v>
      </c>
      <c r="BH37" s="40">
        <f>VLOOKUP("3k6(2x)",$I$2:$J$11,2,FALSE)+IFERROR(VLOOKUP(Karakterlap!$V$7,$A$24:$I$33,9,FALSE),0)</f>
        <v>11</v>
      </c>
      <c r="BI37" s="40">
        <f t="shared" si="0"/>
        <v>13</v>
      </c>
      <c r="BJ37" s="40">
        <f>VLOOKUP("3k6(2x)",$I$2:$J$11,2,FALSE)+IFERROR(VLOOKUP(Karakterlap!$V$7,$A$24:$J$33,10,FALSE),0)</f>
        <v>11</v>
      </c>
      <c r="BK37" s="40">
        <f t="shared" si="1"/>
        <v>13</v>
      </c>
      <c r="BL37" s="40">
        <f>IF((SUM(Karakterlap!$F$3:$F$12)-SUM(BB37:BK37))&lt;0,0,SUM(Karakterlap!$F$3:$F$12)-SUM(BB37:BK37))</f>
        <v>0</v>
      </c>
      <c r="BM37" t="e">
        <f>IF(Karakterlap!$F$3&gt;18,IF((Karakterlap!$F$3-IF(BB37&gt;18,BB37,18))&gt;0,Karakterlap!$F$3-IF(BB37&gt;18,BB37,18),0),0)+IF(Karakterlap!$F$4&gt;18,IF((Karakterlap!$F$4-IF(BC37&gt;18,BC37,18))&gt;0,Karakterlap!$F$4-IF(BC37&gt;18,BC37,18),0),0)+IF(Karakterlap!$F$5&gt;18,IF((Karakterlap!$F$5-IF(BD37&gt;18,BD37,18))&gt;0,Karakterlap!$F$5-IF(BD37&gt;18,BD37,18),0),0)+IF(Karakterlap!$F$6&gt;18,IF((Karakterlap!$F$6-IF(BE37&gt;18,BE37,18))&gt;0,Karakterlap!$F$6-IF(BE37&gt;18,BE37,18),0),0)+IF(Karakterlap!$F$7&gt;18,IF((Karakterlap!$F$7-IF(BF37&gt;18,BF37,18))&gt;0,Karakterlap!$F$7-IF(BF37&gt;18,BF37,18),0),0)+IF(Karakterlap!$F$8&gt;18,IF((Karakterlap!$F$8-IF(BG37&gt;18,BG37,18))&gt;0,Karakterlap!$F$8-IF(BG37&gt;18,BG37,18),0),0)+IF(Karakterlap!$F$9&gt;18,IF((Karakterlap!$F$9-IF(BH37&gt;18,BH37,18))&gt;0,Karakterlap!$F$9-IF(BH37&gt;18,BH37,18),0),0)+IF(Karakterlap!$F$10&gt;18,IF((Karakterlap!$F$10-IF(BI37&gt;18,BI37,18))&gt;0,Karakterlap!$F$10-IF(BI37&gt;18,BI37,18),0),0)+IF(Karakterlap!$F$11&gt;18,IF((Karakterlap!$F$11-IF(BJ37&gt;18,BJ37,18))&gt;0,Karakterlap!$F$11-IF(BJ37&gt;18,BJ37,18),0),0)+IF(Karakterlap!$F$12&gt;18,IF((Karakterlap!$F$12-IF(BK37&gt;18,BK37,18))&gt;0,Karakterlap!$F$12-IF(BK37&gt;18,BK37,18),0),0)</f>
        <v>#VALUE!</v>
      </c>
    </row>
    <row r="38" spans="1:65" x14ac:dyDescent="0.25">
      <c r="L38" t="s">
        <v>227</v>
      </c>
      <c r="M38">
        <v>0</v>
      </c>
      <c r="N38">
        <v>161</v>
      </c>
      <c r="O38">
        <v>321</v>
      </c>
      <c r="P38">
        <v>641</v>
      </c>
      <c r="Q38">
        <v>1441</v>
      </c>
      <c r="R38">
        <v>2801</v>
      </c>
      <c r="S38">
        <v>5601</v>
      </c>
      <c r="T38">
        <v>10001</v>
      </c>
      <c r="U38">
        <v>20001</v>
      </c>
      <c r="V38">
        <v>40001</v>
      </c>
      <c r="W38">
        <v>60001</v>
      </c>
      <c r="X38">
        <v>80001</v>
      </c>
      <c r="Y38">
        <f>IFERROR(IF(VLOOKUP(L38,Karakterlap!$P$3:$Z$4,10,FALSE)&gt;13,112001+((VLOOKUP(L38,Karakterlap!$P$3:$Z$4,10,FALSE)-13)*31200),112001),112001)</f>
        <v>112001</v>
      </c>
      <c r="Z38">
        <v>9</v>
      </c>
      <c r="AA38">
        <v>20</v>
      </c>
      <c r="AB38">
        <v>75</v>
      </c>
      <c r="AC38">
        <v>0</v>
      </c>
      <c r="AD38">
        <f>IFERROR(VLOOKUP(L38,Karakterlap!$P$3:$Z$4,10,FALSE)*11,11)</f>
        <v>11</v>
      </c>
      <c r="AE38">
        <f>IFERROR(IF(Karakterlap!$P$5="Váltott kaszt",IF(Karakterlap!$P$3=Adattábla!$L38,Karakterlap!$Y$3*3,IF(Karakterlap!$P$4=Adattábla!$L38,(Karakterlap!$Y$4-Adattábla!$I$20)*3,3)),VLOOKUP(Adattábla!$L38,Karakterlap!$P$3:$Z$4,10,FALSE)*3),3)</f>
        <v>3</v>
      </c>
      <c r="AF38">
        <f>IFERROR(IF(Karakterlap!$P$5="Váltott kaszt",IF(Karakterlap!$P$3=Adattábla!$L38,Karakterlap!$Y$3*3,IF(Karakterlap!$P$4=Adattábla!$L38,(Karakterlap!$Y$4-Adattábla!$I$20)*3,3)),VLOOKUP(Adattábla!$L38,Karakterlap!$P$3:$Z$4,10,FALSE)*3),3)</f>
        <v>3</v>
      </c>
      <c r="AG38">
        <v>10</v>
      </c>
      <c r="AH38">
        <f>IF(Karakterlap!$P$5="Iker kaszt",IF(Karakterlap!$P$3=L38,IFERROR((Karakterlap!$P$6*14)+(VLOOKUP(L38,Karakterlap!$P$3:$Z$4,10,FALSE)-Karakterlap!$P$6),14),IF(Karakterlap!$P$4=L38,VLOOKUP(L38,Karakterlap!$P$3:$Z$4,10,FALSE),14)),IF(Karakterlap!$P$5="Váltott kaszt",IF(L38=Karakterlap!$P$3,(Karakterlap!$Y$3+3)*14,VLOOKUP(L38,Karakterlap!$P$3:$Z$4,10,FALSE)*14),IFERROR(VLOOKUP(L38,Karakterlap!$P$3:$Z$4,10,FALSE)*14,14)))</f>
        <v>14</v>
      </c>
      <c r="AI38">
        <v>0</v>
      </c>
      <c r="AJ38">
        <v>7</v>
      </c>
      <c r="AK38">
        <v>6</v>
      </c>
      <c r="AL38">
        <f>IFERROR(VLOOKUP(L38,Karakterlap!$P$3:$Z$4,10,FALSE)*($E$18+4),$E$18+4)</f>
        <v>10</v>
      </c>
      <c r="AN38" t="s">
        <v>108</v>
      </c>
      <c r="AO38" t="str">
        <f>IFERROR((IF(Karakterlap!$F$9&gt;10,Karakterlap!$F$9-10,0))+4+((VLOOKUP(L38,Karakterlap!$P$3:$Z$4,10,FALSE)-1)*3),"más kaszt")</f>
        <v>más kaszt</v>
      </c>
      <c r="BA38">
        <f>IFERROR(IF(Karakterlap!$P$6&gt;13,112001+((Karakterlap!$P$6-13)*31200),112001),112001)</f>
        <v>112001</v>
      </c>
      <c r="BB38" s="40">
        <f>VLOOKUP("k6+12",$I$2:$J$11,2,FALSE)+IFERROR(VLOOKUP(Karakterlap!$V$7,$A$24:$C$33,3,FALSE),0)</f>
        <v>16</v>
      </c>
      <c r="BC38" s="40">
        <f>VLOOKUP("k10+8",$I$2:$J$11,2,FALSE)+IFERROR(VLOOKUP(Karakterlap!$V$7,$A$24:$D$33,4,FALSE),0)</f>
        <v>14</v>
      </c>
      <c r="BD38" s="40">
        <f>VLOOKUP("2k6+6",$I$2:$J$11,2,FALSE)+IFERROR(VLOOKUP(Karakterlap!$V$7,$A$24:$E$33,5,FALSE),0)</f>
        <v>13</v>
      </c>
      <c r="BE38" s="40">
        <f>VLOOKUP("2k6+6",$I$2:$J$11,2,FALSE)+IFERROR(VLOOKUP(Karakterlap!$V$7,$A$24:$F$33,6,FALSE),0)</f>
        <v>13</v>
      </c>
      <c r="BF38" s="40">
        <f>VLOOKUP("k10+10",$I$2:$J$11,2,FALSE)+IFERROR(VLOOKUP(Karakterlap!$V$7,$A$24:$G$33,7,FALSE),0)</f>
        <v>16</v>
      </c>
      <c r="BG38" s="40">
        <f>VLOOKUP("3k6(2x)",$I$2:$J$11,2,FALSE)+IFERROR(VLOOKUP(Karakterlap!$V$7,$A$24:$H$33,8,FALSE),0)</f>
        <v>11</v>
      </c>
      <c r="BH38" s="40">
        <f>VLOOKUP("3k6(2x)",$I$2:$J$11,2,FALSE)+IFERROR(VLOOKUP(Karakterlap!$V$7,$A$24:$I$33,9,FALSE),0)</f>
        <v>11</v>
      </c>
      <c r="BI38" s="40">
        <f t="shared" si="0"/>
        <v>13</v>
      </c>
      <c r="BJ38" s="40">
        <f>VLOOKUP("3k6(2x)",$I$2:$J$11,2,FALSE)+IFERROR(VLOOKUP(Karakterlap!$V$7,$A$24:$J$33,10,FALSE),0)</f>
        <v>11</v>
      </c>
      <c r="BK38" s="40">
        <f t="shared" si="1"/>
        <v>13</v>
      </c>
      <c r="BL38" s="40">
        <f>IF((SUM(Karakterlap!$F$3:$F$12)-SUM(BB38:BK38))&lt;0,0,SUM(Karakterlap!$F$3:$F$12)-SUM(BB38:BK38))</f>
        <v>0</v>
      </c>
      <c r="BM38" t="e">
        <f>IF(Karakterlap!$F$3&gt;18,IF((Karakterlap!$F$3-IF(BB38&gt;18,BB38,18))&gt;0,Karakterlap!$F$3-IF(BB38&gt;18,BB38,18),0),0)+IF(Karakterlap!$F$4&gt;18,IF((Karakterlap!$F$4-IF(BC38&gt;18,BC38,18))&gt;0,Karakterlap!$F$4-IF(BC38&gt;18,BC38,18),0),0)+IF(Karakterlap!$F$5&gt;18,IF((Karakterlap!$F$5-IF(BD38&gt;18,BD38,18))&gt;0,Karakterlap!$F$5-IF(BD38&gt;18,BD38,18),0),0)+IF(Karakterlap!$F$6&gt;18,IF((Karakterlap!$F$6-IF(BE38&gt;18,BE38,18))&gt;0,Karakterlap!$F$6-IF(BE38&gt;18,BE38,18),0),0)+IF(Karakterlap!$F$7&gt;18,IF((Karakterlap!$F$7-IF(BF38&gt;18,BF38,18))&gt;0,Karakterlap!$F$7-IF(BF38&gt;18,BF38,18),0),0)+IF(Karakterlap!$F$8&gt;18,IF((Karakterlap!$F$8-IF(BG38&gt;18,BG38,18))&gt;0,Karakterlap!$F$8-IF(BG38&gt;18,BG38,18),0),0)+IF(Karakterlap!$F$9&gt;18,IF((Karakterlap!$F$9-IF(BH38&gt;18,BH38,18))&gt;0,Karakterlap!$F$9-IF(BH38&gt;18,BH38,18),0),0)+IF(Karakterlap!$F$10&gt;18,IF((Karakterlap!$F$10-IF(BI38&gt;18,BI38,18))&gt;0,Karakterlap!$F$10-IF(BI38&gt;18,BI38,18),0),0)+IF(Karakterlap!$F$11&gt;18,IF((Karakterlap!$F$11-IF(BJ38&gt;18,BJ38,18))&gt;0,Karakterlap!$F$11-IF(BJ38&gt;18,BJ38,18),0),0)+IF(Karakterlap!$F$12&gt;18,IF((Karakterlap!$F$12-IF(BK38&gt;18,BK38,18))&gt;0,Karakterlap!$F$12-IF(BK38&gt;18,BK38,18),0),0)</f>
        <v>#VALUE!</v>
      </c>
    </row>
    <row r="39" spans="1:65" x14ac:dyDescent="0.25">
      <c r="L39" t="s">
        <v>228</v>
      </c>
      <c r="M39">
        <v>0</v>
      </c>
      <c r="N39">
        <v>161</v>
      </c>
      <c r="O39">
        <v>321</v>
      </c>
      <c r="P39">
        <v>641</v>
      </c>
      <c r="Q39">
        <v>1441</v>
      </c>
      <c r="R39">
        <v>2801</v>
      </c>
      <c r="S39">
        <v>5601</v>
      </c>
      <c r="T39">
        <v>10001</v>
      </c>
      <c r="U39">
        <v>20001</v>
      </c>
      <c r="V39">
        <v>40001</v>
      </c>
      <c r="W39">
        <v>60001</v>
      </c>
      <c r="X39">
        <v>80001</v>
      </c>
      <c r="Y39">
        <f>IFERROR(IF(VLOOKUP(L39,Karakterlap!$P$3:$Z$4,10,FALSE)&gt;13,112001+((VLOOKUP(L39,Karakterlap!$P$3:$Z$4,10,FALSE)-13)*31200),112001),112001)</f>
        <v>112001</v>
      </c>
      <c r="Z39">
        <v>9</v>
      </c>
      <c r="AA39">
        <v>20</v>
      </c>
      <c r="AB39">
        <v>75</v>
      </c>
      <c r="AC39">
        <v>0</v>
      </c>
      <c r="AD39">
        <f>IFERROR(VLOOKUP(L39,Karakterlap!$P$3:$Z$4,10,FALSE)*11,11)</f>
        <v>11</v>
      </c>
      <c r="AE39">
        <f>IFERROR(IF(Karakterlap!$P$5="Váltott kaszt",IF(Karakterlap!$P$3=Adattábla!$L39,Karakterlap!$Y$3*3,IF(Karakterlap!$P$4=Adattábla!$L39,(Karakterlap!$Y$4-Adattábla!$I$20)*3,3)),VLOOKUP(Adattábla!$L39,Karakterlap!$P$3:$Z$4,10,FALSE)*3),3)</f>
        <v>3</v>
      </c>
      <c r="AF39">
        <f>IFERROR(IF(Karakterlap!$P$5="Váltott kaszt",IF(Karakterlap!$P$3=Adattábla!$L39,Karakterlap!$Y$3*3,IF(Karakterlap!$P$4=Adattábla!$L39,(Karakterlap!$Y$4-Adattábla!$I$20)*3,3)),VLOOKUP(Adattábla!$L39,Karakterlap!$P$3:$Z$4,10,FALSE)*3),3)</f>
        <v>3</v>
      </c>
      <c r="AG39">
        <v>10</v>
      </c>
      <c r="AH39">
        <f>IF(Karakterlap!$P$5="Iker kaszt",IF(Karakterlap!$P$3=L39,IFERROR((Karakterlap!$P$6*14)+(VLOOKUP(L39,Karakterlap!$P$3:$Z$4,10,FALSE)-Karakterlap!$P$6),14),IF(Karakterlap!$P$4=L39,VLOOKUP(L39,Karakterlap!$P$3:$Z$4,10,FALSE),14)),IF(Karakterlap!$P$5="Váltott kaszt",IF(L39=Karakterlap!$P$3,(Karakterlap!$Y$3+3)*14,VLOOKUP(L39,Karakterlap!$P$3:$Z$4,10,FALSE)*14),IFERROR(VLOOKUP(L39,Karakterlap!$P$3:$Z$4,10,FALSE)*14,14)))</f>
        <v>14</v>
      </c>
      <c r="AI39">
        <v>0</v>
      </c>
      <c r="AJ39">
        <v>7</v>
      </c>
      <c r="AK39">
        <v>6</v>
      </c>
      <c r="AL39">
        <f>IFERROR(VLOOKUP(L39,Karakterlap!$P$3:$Z$4,10,FALSE)*($E$18+4),$E$18+4)</f>
        <v>10</v>
      </c>
      <c r="AN39" t="s">
        <v>108</v>
      </c>
      <c r="AO39" t="str">
        <f>IFERROR((IF(Karakterlap!$F$9&gt;10,Karakterlap!$F$9-10,0))+4+((VLOOKUP(L39,Karakterlap!$P$3:$Z$4,10,FALSE)-1)*3),"más kaszt")</f>
        <v>más kaszt</v>
      </c>
      <c r="AQ39" s="17">
        <v>20</v>
      </c>
      <c r="AS39" s="17">
        <v>10</v>
      </c>
      <c r="BA39">
        <f>IFERROR(IF(Karakterlap!$P$6&gt;13,112001+((Karakterlap!$P$6-13)*31200),112001),112001)</f>
        <v>112001</v>
      </c>
      <c r="BB39" s="40">
        <f>VLOOKUP("k6+12",$I$2:$J$11,2,FALSE)+IFERROR(VLOOKUP(Karakterlap!$V$7,$A$24:$C$33,3,FALSE),0)</f>
        <v>16</v>
      </c>
      <c r="BC39" s="40">
        <f>VLOOKUP("k10+8",$I$2:$J$11,2,FALSE)+IFERROR(VLOOKUP(Karakterlap!$V$7,$A$24:$D$33,4,FALSE),0)</f>
        <v>14</v>
      </c>
      <c r="BD39" s="40">
        <f>VLOOKUP("2k6+6",$I$2:$J$11,2,FALSE)+IFERROR(VLOOKUP(Karakterlap!$V$7,$A$24:$E$33,5,FALSE),0)</f>
        <v>13</v>
      </c>
      <c r="BE39" s="40">
        <f>VLOOKUP("2k6+6",$I$2:$J$11,2,FALSE)+IFERROR(VLOOKUP(Karakterlap!$V$7,$A$24:$F$33,6,FALSE),0)</f>
        <v>13</v>
      </c>
      <c r="BF39" s="40">
        <f>VLOOKUP("k10+10",$I$2:$J$11,2,FALSE)+IFERROR(VLOOKUP(Karakterlap!$V$7,$A$24:$G$33,7,FALSE),0)</f>
        <v>16</v>
      </c>
      <c r="BG39" s="40">
        <f>VLOOKUP("3k6(2x)",$I$2:$J$11,2,FALSE)+IFERROR(VLOOKUP(Karakterlap!$V$7,$A$24:$H$33,8,FALSE),0)</f>
        <v>11</v>
      </c>
      <c r="BH39" s="40">
        <f>VLOOKUP("3k6(2x)",$I$2:$J$11,2,FALSE)+IFERROR(VLOOKUP(Karakterlap!$V$7,$A$24:$I$33,9,FALSE),0)</f>
        <v>11</v>
      </c>
      <c r="BI39" s="40">
        <f t="shared" si="0"/>
        <v>13</v>
      </c>
      <c r="BJ39" s="40">
        <f>VLOOKUP("3k6(2x)",$I$2:$J$11,2,FALSE)+IFERROR(VLOOKUP(Karakterlap!$V$7,$A$24:$J$33,10,FALSE),0)</f>
        <v>11</v>
      </c>
      <c r="BK39" s="40">
        <f t="shared" si="1"/>
        <v>13</v>
      </c>
      <c r="BL39" s="40">
        <f>IF((SUM(Karakterlap!$F$3:$F$12)-SUM(BB39:BK39))&lt;0,0,SUM(Karakterlap!$F$3:$F$12)-SUM(BB39:BK39))</f>
        <v>0</v>
      </c>
      <c r="BM39" t="e">
        <f>IF(Karakterlap!$F$3&gt;18,IF((Karakterlap!$F$3-IF(BB39&gt;18,BB39,18))&gt;0,Karakterlap!$F$3-IF(BB39&gt;18,BB39,18),0),0)+IF(Karakterlap!$F$4&gt;18,IF((Karakterlap!$F$4-IF(BC39&gt;18,BC39,18))&gt;0,Karakterlap!$F$4-IF(BC39&gt;18,BC39,18),0),0)+IF(Karakterlap!$F$5&gt;18,IF((Karakterlap!$F$5-IF(BD39&gt;18,BD39,18))&gt;0,Karakterlap!$F$5-IF(BD39&gt;18,BD39,18),0),0)+IF(Karakterlap!$F$6&gt;18,IF((Karakterlap!$F$6-IF(BE39&gt;18,BE39,18))&gt;0,Karakterlap!$F$6-IF(BE39&gt;18,BE39,18),0),0)+IF(Karakterlap!$F$7&gt;18,IF((Karakterlap!$F$7-IF(BF39&gt;18,BF39,18))&gt;0,Karakterlap!$F$7-IF(BF39&gt;18,BF39,18),0),0)+IF(Karakterlap!$F$8&gt;18,IF((Karakterlap!$F$8-IF(BG39&gt;18,BG39,18))&gt;0,Karakterlap!$F$8-IF(BG39&gt;18,BG39,18),0),0)+IF(Karakterlap!$F$9&gt;18,IF((Karakterlap!$F$9-IF(BH39&gt;18,BH39,18))&gt;0,Karakterlap!$F$9-IF(BH39&gt;18,BH39,18),0),0)+IF(Karakterlap!$F$10&gt;18,IF((Karakterlap!$F$10-IF(BI39&gt;18,BI39,18))&gt;0,Karakterlap!$F$10-IF(BI39&gt;18,BI39,18),0),0)+IF(Karakterlap!$F$11&gt;18,IF((Karakterlap!$F$11-IF(BJ39&gt;18,BJ39,18))&gt;0,Karakterlap!$F$11-IF(BJ39&gt;18,BJ39,18),0),0)+IF(Karakterlap!$F$12&gt;18,IF((Karakterlap!$F$12-IF(BK39&gt;18,BK39,18))&gt;0,Karakterlap!$F$12-IF(BK39&gt;18,BK39,18),0),0)</f>
        <v>#VALUE!</v>
      </c>
    </row>
    <row r="40" spans="1:65" x14ac:dyDescent="0.25">
      <c r="L40" t="s">
        <v>229</v>
      </c>
      <c r="M40">
        <v>0</v>
      </c>
      <c r="N40">
        <v>161</v>
      </c>
      <c r="O40">
        <v>321</v>
      </c>
      <c r="P40">
        <v>641</v>
      </c>
      <c r="Q40">
        <v>1441</v>
      </c>
      <c r="R40">
        <v>2801</v>
      </c>
      <c r="S40">
        <v>5601</v>
      </c>
      <c r="T40">
        <v>10001</v>
      </c>
      <c r="U40">
        <v>20001</v>
      </c>
      <c r="V40">
        <v>40001</v>
      </c>
      <c r="W40">
        <v>60001</v>
      </c>
      <c r="X40">
        <v>80001</v>
      </c>
      <c r="Y40">
        <f>IFERROR(IF(VLOOKUP(L40,Karakterlap!$P$3:$Z$4,10,FALSE)&gt;13,112001+((VLOOKUP(L40,Karakterlap!$P$3:$Z$4,10,FALSE)-13)*31200),112001),112001)</f>
        <v>112001</v>
      </c>
      <c r="Z40">
        <v>9</v>
      </c>
      <c r="AA40">
        <v>20</v>
      </c>
      <c r="AB40">
        <v>75</v>
      </c>
      <c r="AC40">
        <v>25</v>
      </c>
      <c r="AD40">
        <f>IFERROR(VLOOKUP(L40,Karakterlap!$P$3:$Z$4,10,FALSE)*11,11)</f>
        <v>11</v>
      </c>
      <c r="AE40">
        <f>IFERROR(IF(Karakterlap!$P$5="Váltott kaszt",IF(Karakterlap!$P$3=Adattábla!$L40,Karakterlap!$Y$3*2,IF(Karakterlap!$P$4=Adattábla!$L40,(Karakterlap!$Y$4-Adattábla!$I$20)*2,2)),VLOOKUP(Adattábla!$L40,Karakterlap!$P$3:$Z$4,10,FALSE)*2),2)</f>
        <v>2</v>
      </c>
      <c r="AF40">
        <f>IFERROR(IF(Karakterlap!$P$5="Váltott kaszt",IF(Karakterlap!$P$3=Adattábla!$L40,Karakterlap!$Y$3*2,IF(Karakterlap!$P$4=Adattábla!$L40,(Karakterlap!$Y$4-Adattábla!$I$20)*2,2)),VLOOKUP(Adattábla!$L40,Karakterlap!$P$3:$Z$4,10,FALSE)*2),2)</f>
        <v>2</v>
      </c>
      <c r="AG40">
        <v>10</v>
      </c>
      <c r="AH40">
        <f>IF(Karakterlap!$P$5="Iker kaszt",IF(Karakterlap!$P$3=L40,IFERROR((Karakterlap!$P$6*14)+(VLOOKUP(L40,Karakterlap!$P$3:$Z$4,10,FALSE)-Karakterlap!$P$6),14),IF(Karakterlap!$P$4=L40,VLOOKUP(L40,Karakterlap!$P$3:$Z$4,10,FALSE),14)),IF(Karakterlap!$P$5="Váltott kaszt",IF(L40=Karakterlap!$P$3,(Karakterlap!$Y$3+3)*14,VLOOKUP(L40,Karakterlap!$P$3:$Z$4,10,FALSE)*14),IFERROR(VLOOKUP(L40,Karakterlap!$P$3:$Z$4,10,FALSE)*14,14)))</f>
        <v>14</v>
      </c>
      <c r="AI40">
        <v>0</v>
      </c>
      <c r="AJ40">
        <v>7</v>
      </c>
      <c r="AK40">
        <v>6</v>
      </c>
      <c r="AL40">
        <f>IFERROR(VLOOKUP(L40,Karakterlap!$P$3:$Z$4,10,FALSE)*($E$18+4),$E$18+4)</f>
        <v>10</v>
      </c>
      <c r="AN40" t="s">
        <v>108</v>
      </c>
      <c r="AO40" t="str">
        <f>IFERROR((IF(Karakterlap!$F$9&gt;10,Karakterlap!$F$9-10,0))+4+((VLOOKUP(L40,Karakterlap!$P$3:$Z$4,10,FALSE)-1)*3),"más kaszt")</f>
        <v>más kaszt</v>
      </c>
      <c r="AQ40" s="17">
        <v>20</v>
      </c>
      <c r="BA40">
        <f>IFERROR(IF(Karakterlap!$P$6&gt;13,112001+((Karakterlap!$P$6-13)*31200),112001),112001)</f>
        <v>112001</v>
      </c>
      <c r="BB40" s="40">
        <f>VLOOKUP("k6+12",$I$2:$J$11,2,FALSE)+IFERROR(VLOOKUP(Karakterlap!$V$7,$A$24:$C$33,3,FALSE),0)</f>
        <v>16</v>
      </c>
      <c r="BC40" s="40">
        <f>VLOOKUP("k10+8",$I$2:$J$11,2,FALSE)+IFERROR(VLOOKUP(Karakterlap!$V$7,$A$24:$D$33,4,FALSE),0)</f>
        <v>14</v>
      </c>
      <c r="BD40" s="40">
        <f>VLOOKUP("2k6+6",$I$2:$J$11,2,FALSE)+IFERROR(VLOOKUP(Karakterlap!$V$7,$A$24:$E$33,5,FALSE),0)</f>
        <v>13</v>
      </c>
      <c r="BE40" s="40">
        <f>VLOOKUP("2k6+6",$I$2:$J$11,2,FALSE)+IFERROR(VLOOKUP(Karakterlap!$V$7,$A$24:$F$33,6,FALSE),0)</f>
        <v>13</v>
      </c>
      <c r="BF40" s="40">
        <f>VLOOKUP("k10+10",$I$2:$J$11,2,FALSE)+IFERROR(VLOOKUP(Karakterlap!$V$7,$A$24:$G$33,7,FALSE),0)</f>
        <v>16</v>
      </c>
      <c r="BG40" s="40">
        <f>VLOOKUP("3k6(2x)",$I$2:$J$11,2,FALSE)+IFERROR(VLOOKUP(Karakterlap!$V$7,$A$24:$H$33,8,FALSE),0)</f>
        <v>11</v>
      </c>
      <c r="BH40" s="40">
        <f>VLOOKUP("3k6(2x)",$I$2:$J$11,2,FALSE)+IFERROR(VLOOKUP(Karakterlap!$V$7,$A$24:$I$33,9,FALSE),0)</f>
        <v>11</v>
      </c>
      <c r="BI40" s="40">
        <f t="shared" si="0"/>
        <v>13</v>
      </c>
      <c r="BJ40" s="40">
        <f>VLOOKUP("3k6(2x)",$I$2:$J$11,2,FALSE)+IFERROR(VLOOKUP(Karakterlap!$V$7,$A$24:$J$33,10,FALSE),0)</f>
        <v>11</v>
      </c>
      <c r="BK40" s="40">
        <f t="shared" si="1"/>
        <v>13</v>
      </c>
      <c r="BL40" s="40">
        <f>IF((SUM(Karakterlap!$F$3:$F$12)-SUM(BB40:BK40))&lt;0,0,SUM(Karakterlap!$F$3:$F$12)-SUM(BB40:BK40))</f>
        <v>0</v>
      </c>
      <c r="BM40" t="e">
        <f>IF(Karakterlap!$F$3&gt;18,IF((Karakterlap!$F$3-IF(BB40&gt;18,BB40,18))&gt;0,Karakterlap!$F$3-IF(BB40&gt;18,BB40,18),0),0)+IF(Karakterlap!$F$4&gt;18,IF((Karakterlap!$F$4-IF(BC40&gt;18,BC40,18))&gt;0,Karakterlap!$F$4-IF(BC40&gt;18,BC40,18),0),0)+IF(Karakterlap!$F$5&gt;18,IF((Karakterlap!$F$5-IF(BD40&gt;18,BD40,18))&gt;0,Karakterlap!$F$5-IF(BD40&gt;18,BD40,18),0),0)+IF(Karakterlap!$F$6&gt;18,IF((Karakterlap!$F$6-IF(BE40&gt;18,BE40,18))&gt;0,Karakterlap!$F$6-IF(BE40&gt;18,BE40,18),0),0)+IF(Karakterlap!$F$7&gt;18,IF((Karakterlap!$F$7-IF(BF40&gt;18,BF40,18))&gt;0,Karakterlap!$F$7-IF(BF40&gt;18,BF40,18),0),0)+IF(Karakterlap!$F$8&gt;18,IF((Karakterlap!$F$8-IF(BG40&gt;18,BG40,18))&gt;0,Karakterlap!$F$8-IF(BG40&gt;18,BG40,18),0),0)+IF(Karakterlap!$F$9&gt;18,IF((Karakterlap!$F$9-IF(BH40&gt;18,BH40,18))&gt;0,Karakterlap!$F$9-IF(BH40&gt;18,BH40,18),0),0)+IF(Karakterlap!$F$10&gt;18,IF((Karakterlap!$F$10-IF(BI40&gt;18,BI40,18))&gt;0,Karakterlap!$F$10-IF(BI40&gt;18,BI40,18),0),0)+IF(Karakterlap!$F$11&gt;18,IF((Karakterlap!$F$11-IF(BJ40&gt;18,BJ40,18))&gt;0,Karakterlap!$F$11-IF(BJ40&gt;18,BJ40,18),0),0)+IF(Karakterlap!$F$12&gt;18,IF((Karakterlap!$F$12-IF(BK40&gt;18,BK40,18))&gt;0,Karakterlap!$F$12-IF(BK40&gt;18,BK40,18),0),0)</f>
        <v>#VALUE!</v>
      </c>
    </row>
    <row r="41" spans="1:65" x14ac:dyDescent="0.25">
      <c r="L41" t="s">
        <v>45</v>
      </c>
      <c r="M41">
        <v>0</v>
      </c>
      <c r="N41">
        <v>189</v>
      </c>
      <c r="O41">
        <v>377</v>
      </c>
      <c r="P41">
        <v>826</v>
      </c>
      <c r="Q41">
        <v>1651</v>
      </c>
      <c r="R41">
        <v>3301</v>
      </c>
      <c r="S41">
        <v>7251</v>
      </c>
      <c r="T41">
        <v>12051</v>
      </c>
      <c r="U41">
        <v>24001</v>
      </c>
      <c r="V41">
        <v>48001</v>
      </c>
      <c r="W41">
        <v>68001</v>
      </c>
      <c r="X41">
        <v>93001</v>
      </c>
      <c r="Y41">
        <f>IFERROR(IF(VLOOKUP(L41,Karakterlap!$P$3:$Z$4,10,FALSE)&gt;13,130001+((VLOOKUP(L41,Karakterlap!$P$3:$Z$4,10,FALSE)-13)*40000),130001),130001)</f>
        <v>130001</v>
      </c>
      <c r="Z41">
        <v>9</v>
      </c>
      <c r="AA41">
        <v>20</v>
      </c>
      <c r="AB41">
        <v>75</v>
      </c>
      <c r="AC41">
        <v>0</v>
      </c>
      <c r="AD41">
        <f>IFERROR(VLOOKUP(L41,Karakterlap!$P$3:$Z$4,10,FALSE)*12,12)</f>
        <v>12</v>
      </c>
      <c r="AE41">
        <f>IFERROR(IF(Karakterlap!$P$5="Váltott kaszt",IF(Karakterlap!$P$3=Adattábla!$L41,Karakterlap!$Y$3*4,IF(Karakterlap!$P$4=Adattábla!$L41,(Karakterlap!$Y$4-Adattábla!$I$20)*4,4)),VLOOKUP(Adattábla!$L41,Karakterlap!$P$3:$Z$4,10,FALSE)*4),4)</f>
        <v>4</v>
      </c>
      <c r="AF41">
        <f>IFERROR(IF(Karakterlap!$P$5="Váltott kaszt",IF(Karakterlap!$P$3=Adattábla!$L41,Karakterlap!$Y$3*4,IF(Karakterlap!$P$4=Adattábla!$L41,(Karakterlap!$Y$4-Adattábla!$I$20)*4,4)),VLOOKUP(Adattábla!$L41,Karakterlap!$P$3:$Z$4,10,FALSE)*4),4)</f>
        <v>4</v>
      </c>
      <c r="AG41">
        <v>3</v>
      </c>
      <c r="AH41">
        <f>IF(Karakterlap!$P$5="Iker kaszt",IF(Karakterlap!$P$3=L41,IFERROR((Karakterlap!$P$6*6)+(VLOOKUP(L41,Karakterlap!$P$3:$Z$4,10,FALSE)-Karakterlap!$P$6),6),IF(Karakterlap!$P$4=L41,VLOOKUP(L41,Karakterlap!$P$3:$Z$4,10,FALSE),6)),IF(Karakterlap!$P$5="Váltott kaszt",IF(L41=Karakterlap!$P$3,(Karakterlap!$Y$3+3)*6,VLOOKUP(L41,Karakterlap!$P$3:$Z$4,10,FALSE)*6),IFERROR(VLOOKUP(L41,Karakterlap!$P$3:$Z$4,10,FALSE)*6,6)))</f>
        <v>6</v>
      </c>
      <c r="AI41">
        <v>0</v>
      </c>
      <c r="AJ41">
        <v>8</v>
      </c>
      <c r="AK41">
        <v>7</v>
      </c>
      <c r="AL41">
        <f>IFERROR(VLOOKUP(L41,Karakterlap!$P$3:$Z$4,10,FALSE)*($E$18+5),$E$18+5)</f>
        <v>11</v>
      </c>
      <c r="AN41" t="s">
        <v>115</v>
      </c>
      <c r="AR41" s="17">
        <v>30</v>
      </c>
      <c r="AS41" s="17">
        <v>20</v>
      </c>
      <c r="BA41">
        <f>IFERROR(IF(Karakterlap!$P$6&gt;13,130001+((Karakterlap!$P$6-13)*40000),130001),130001)</f>
        <v>130001</v>
      </c>
      <c r="BB41" s="40">
        <f>VLOOKUP("k6+12",$I$2:$J$11,2,FALSE)+IFERROR(VLOOKUP(Karakterlap!$V$7,$A$24:$C$33,3,FALSE),0)</f>
        <v>16</v>
      </c>
      <c r="BC41" s="40">
        <f>VLOOKUP("k6+12",$I$2:$J$11,2,FALSE)+IFERROR(VLOOKUP(Karakterlap!$V$7,$A$24:$D$33,4,FALSE),0)</f>
        <v>16</v>
      </c>
      <c r="BD41" s="40">
        <f>VLOOKUP("2k6+6",$I$2:$J$11,2,FALSE)+IFERROR(VLOOKUP(Karakterlap!$V$7,$A$24:$E$33,5,FALSE),0)</f>
        <v>13</v>
      </c>
      <c r="BE41" s="40">
        <f>VLOOKUP("2k6+6",$I$2:$J$11,2,FALSE)+IFERROR(VLOOKUP(Karakterlap!$V$7,$A$24:$F$33,6,FALSE),0)</f>
        <v>13</v>
      </c>
      <c r="BF41" s="40">
        <f>VLOOKUP("k10+10",$I$2:$J$11,2,FALSE)+IFERROR(VLOOKUP(Karakterlap!$V$7,$A$24:$G$33,7,FALSE),0)</f>
        <v>16</v>
      </c>
      <c r="BG41" s="40">
        <f>VLOOKUP("2k6+6",$I$2:$J$11,2,FALSE)+IFERROR(VLOOKUP(Karakterlap!$V$7,$A$24:$H$33,8,FALSE),0)</f>
        <v>13</v>
      </c>
      <c r="BH41" s="40">
        <f>VLOOKUP("3k6",$I$2:$J$11,2,FALSE)+IFERROR(VLOOKUP(Karakterlap!$V$7,$A$24:$I$33,9,FALSE),0)</f>
        <v>10</v>
      </c>
      <c r="BI41" s="40">
        <f>VLOOKUP("3k6",$I$2:$J$11,2,FALSE)</f>
        <v>10</v>
      </c>
      <c r="BJ41" s="40">
        <f>VLOOKUP("3k6",$I$2:$J$11,2,FALSE)+IFERROR(VLOOKUP(Karakterlap!$V$7,$A$24:$J$33,10,FALSE),0)</f>
        <v>10</v>
      </c>
      <c r="BK41" s="40">
        <f>VLOOKUP("2k6+6",$I$2:$J$11,2,FALSE)</f>
        <v>13</v>
      </c>
      <c r="BL41" s="40">
        <f>IF((SUM(Karakterlap!$F$3:$F$12)-SUM(BB41:BK41))&lt;0,0,SUM(Karakterlap!$F$3:$F$12)-SUM(BB41:BK41))</f>
        <v>0</v>
      </c>
      <c r="BM41" t="e">
        <f>IF(Karakterlap!$F$3&gt;18,IF((Karakterlap!$F$3-IF(BB41&gt;18,BB41,18))&gt;0,Karakterlap!$F$3-IF(BB41&gt;18,BB41,18),0),0)+IF(Karakterlap!$F$4&gt;18,IF((Karakterlap!$F$4-IF(BC41&gt;18,BC41,18))&gt;0,Karakterlap!$F$4-IF(BC41&gt;18,BC41,18),0),0)+IF(Karakterlap!$F$5&gt;18,IF((Karakterlap!$F$5-IF(BD41&gt;18,BD41,18))&gt;0,Karakterlap!$F$5-IF(BD41&gt;18,BD41,18),0),0)+IF(Karakterlap!$F$6&gt;18,IF((Karakterlap!$F$6-IF(BE41&gt;18,BE41,18))&gt;0,Karakterlap!$F$6-IF(BE41&gt;18,BE41,18),0),0)+IF(Karakterlap!$F$7&gt;18,IF((Karakterlap!$F$7-IF(BF41&gt;18,BF41,18))&gt;0,Karakterlap!$F$7-IF(BF41&gt;18,BF41,18),0),0)+IF(Karakterlap!$F$8&gt;18,IF((Karakterlap!$F$8-IF(BG41&gt;18,BG41,18))&gt;0,Karakterlap!$F$8-IF(BG41&gt;18,BG41,18),0),0)+IF(Karakterlap!$F$9&gt;18,IF((Karakterlap!$F$9-IF(BH41&gt;18,BH41,18))&gt;0,Karakterlap!$F$9-IF(BH41&gt;18,BH41,18),0),0)+IF(Karakterlap!$F$10&gt;18,IF((Karakterlap!$F$10-IF(BI41&gt;18,BI41,18))&gt;0,Karakterlap!$F$10-IF(BI41&gt;18,BI41,18),0),0)+IF(Karakterlap!$F$11&gt;18,IF((Karakterlap!$F$11-IF(BJ41&gt;18,BJ41,18))&gt;0,Karakterlap!$F$11-IF(BJ41&gt;18,BJ41,18),0),0)+IF(Karakterlap!$F$12&gt;18,IF((Karakterlap!$F$12-IF(BK41&gt;18,BK41,18))&gt;0,Karakterlap!$F$12-IF(BK41&gt;18,BK41,18),0),0)</f>
        <v>#VALUE!</v>
      </c>
    </row>
    <row r="42" spans="1:65" x14ac:dyDescent="0.25">
      <c r="I42" t="str">
        <f>IFERROR(IF((VLOOKUP(Karakterlap!P3,Adattábla!L:AD,19,FALSE)-VLOOKUP(Karakterlap!P4,Adattábla!L:AD,19,FALSE))&gt;0,VLOOKUP(Karakterlap!P3,Adattábla!L:AD,19,FALSE),VLOOKUP(Karakterlap!P3,Adattábla!L:AD,19,FALSE)+VLOOKUP(Karakterlap!P4,Adattábla!L:AD,19,FALSE)-(Adattábla!I20*(VLOOKUP(Karakterlap!P4,Adattábla!L:AD,19,FALSE)/Karakterlap!Y4))),"")</f>
        <v/>
      </c>
      <c r="L42" t="s">
        <v>46</v>
      </c>
      <c r="M42">
        <v>0</v>
      </c>
      <c r="N42">
        <v>191</v>
      </c>
      <c r="O42">
        <v>401</v>
      </c>
      <c r="P42">
        <v>901</v>
      </c>
      <c r="Q42">
        <v>1801</v>
      </c>
      <c r="R42">
        <v>3501</v>
      </c>
      <c r="S42">
        <v>7501</v>
      </c>
      <c r="T42">
        <v>15001</v>
      </c>
      <c r="U42">
        <v>30001</v>
      </c>
      <c r="V42">
        <v>60001</v>
      </c>
      <c r="W42">
        <v>110001</v>
      </c>
      <c r="X42">
        <v>160001</v>
      </c>
      <c r="Y42">
        <f>IFERROR(IF(VLOOKUP(L42,Karakterlap!$P$3:$Z$4,10,FALSE)&gt;13,220001+((VLOOKUP(L42,Karakterlap!$P$3:$Z$4,10,FALSE)-13)*60000),220001),220001)</f>
        <v>220001</v>
      </c>
      <c r="Z42">
        <v>10</v>
      </c>
      <c r="AA42">
        <v>20</v>
      </c>
      <c r="AB42">
        <v>75</v>
      </c>
      <c r="AC42">
        <v>0</v>
      </c>
      <c r="AD42">
        <f>IFERROR(VLOOKUP(L42,Karakterlap!$P$3:$Z$4,10,FALSE)*11,11)</f>
        <v>11</v>
      </c>
      <c r="AE42">
        <f>IFERROR(IF(Karakterlap!$P$5="Váltott kaszt",IF(Karakterlap!$P$3=Adattábla!$L42,Karakterlap!$Y$3*4,IF(Karakterlap!$P$4=Adattábla!$L42,(Karakterlap!$Y$4-Adattábla!$I$20)*4,4)),VLOOKUP(Adattábla!$L42,Karakterlap!$P$3:$Z$4,10,FALSE)*4),4)</f>
        <v>4</v>
      </c>
      <c r="AF42">
        <f>IFERROR(IF(Karakterlap!$P$5="Váltott kaszt",IF(Karakterlap!$P$3=Adattábla!$L42,Karakterlap!$Y$3*4,IF(Karakterlap!$P$4=Adattábla!$L42,(Karakterlap!$Y$4-Adattábla!$I$20)*4,4)),VLOOKUP(Adattábla!$L42,Karakterlap!$P$3:$Z$4,10,FALSE)*4),4)</f>
        <v>4</v>
      </c>
      <c r="AG42">
        <v>3</v>
      </c>
      <c r="AH42">
        <f>IF(Karakterlap!$P$5="Iker kaszt",IF(Karakterlap!$P$3=L42,IFERROR((Karakterlap!$P$6*5)+(VLOOKUP(L42,Karakterlap!$P$3:$Z$4,10,FALSE)-Karakterlap!$P$6),5),IF(Karakterlap!$P$4=L42,VLOOKUP(L42,Karakterlap!$P$3:$Z$4,10,FALSE),5)),IF(Karakterlap!$P$5="Váltott kaszt",IF(L42=Karakterlap!$P$3,(Karakterlap!$Y$3+3)*5,VLOOKUP(L42,Karakterlap!$P$3:$Z$4,10,FALSE)*5),IFERROR(VLOOKUP(L42,Karakterlap!$P$3:$Z$4,10,FALSE)*5,5)))</f>
        <v>5</v>
      </c>
      <c r="AI42">
        <f>IFERROR(IF(Karakterlap!$P$5="Váltott kaszt",IF(L42=Karakterlap!$P$3,Karakterlap!$P$6*20,VLOOKUP(L42,Karakterlap!$P$3:$Z$4,10,FALSE)*20),VLOOKUP(L42,Karakterlap!$P$3:$Z$4,10,FALSE)*20),20)</f>
        <v>20</v>
      </c>
      <c r="AJ42">
        <v>6</v>
      </c>
      <c r="AK42">
        <v>7</v>
      </c>
      <c r="AL42">
        <f>IFERROR(VLOOKUP(L42,Karakterlap!$P$3:$Z$4,10,FALSE)*($E$18+5),$E$18+5)</f>
        <v>11</v>
      </c>
      <c r="AN42" t="str">
        <f>IFERROR(IF(VLOOKUP("Fejvadász",Karakterlap!$P$3:$Z$4,10,FALSE)&gt;=5,"Pyarroni Mf","Pyarroni Af"),"más kaszt")</f>
        <v>más kaszt</v>
      </c>
      <c r="AO42" t="str">
        <f>IFERROR(IF(VLOOKUP(L42,Karakterlap!$P$3:$Z$4,10,FALSE)&gt;=5,13+(IF(Karakterlap!$F$9&gt;10,Karakterlap!$F$9-10,0))+((VLOOKUP(L42,Karakterlap!$P$3:$Z$4,10,FALSE)-4)*4),(VLOOKUP(L42,Karakterlap!$P$3:$Z$4,10,FALSE)-1)*3+4+(IF(Karakterlap!$F$9&gt;10,Karakterlap!$F$9-10,0))),"más kaszt")</f>
        <v>más kaszt</v>
      </c>
      <c r="AQ42" s="17">
        <v>30</v>
      </c>
      <c r="AR42" s="17">
        <v>15</v>
      </c>
      <c r="AS42" s="17">
        <v>15</v>
      </c>
      <c r="AT42" s="17">
        <v>20</v>
      </c>
      <c r="AU42" s="17">
        <v>25</v>
      </c>
      <c r="AX42" s="17">
        <v>10</v>
      </c>
      <c r="BA42">
        <f>IFERROR(IF(Karakterlap!$P$6&gt;13,220001+((Karakterlap!$P$6-13)*60000),220001),220001)</f>
        <v>220001</v>
      </c>
      <c r="BB42" s="40">
        <f>VLOOKUP("2k6+6",$I$2:$J$11,2,FALSE)+IFERROR(VLOOKUP(Karakterlap!$V$7,$A$24:$C$33,3,FALSE),0)</f>
        <v>13</v>
      </c>
      <c r="BC42" s="40">
        <f>VLOOKUP("k6+12",$I$2:$J$11,2,FALSE)+IFERROR(VLOOKUP(Karakterlap!$V$7,$A$24:$D$33,4,FALSE),0)</f>
        <v>16</v>
      </c>
      <c r="BD42" s="40">
        <f>VLOOKUP("k6+12",$I$2:$J$11,2,FALSE)+IFERROR(VLOOKUP(Karakterlap!$V$7,$A$24:$E$33,5,FALSE),0)</f>
        <v>16</v>
      </c>
      <c r="BE42" s="40">
        <f>VLOOKUP("k10+8",$I$2:$J$11,2,FALSE)+IFERROR(VLOOKUP(Karakterlap!$V$7,$A$24:$F$33,6,FALSE),0)</f>
        <v>14</v>
      </c>
      <c r="BF42" s="40">
        <f>VLOOKUP("k10+10",$I$2:$J$11,2,FALSE)+IFERROR(VLOOKUP(Karakterlap!$V$7,$A$24:$G$33,7,FALSE),0)</f>
        <v>16</v>
      </c>
      <c r="BG42" s="40">
        <f>VLOOKUP("3k6",$I$2:$J$11,2,FALSE)+IFERROR(VLOOKUP(Karakterlap!$V$7,$A$24:$H$33,8,FALSE),0)</f>
        <v>10</v>
      </c>
      <c r="BH42" s="40">
        <f>VLOOKUP("3k6(2x)",$I$2:$J$11,2,FALSE)+IFERROR(VLOOKUP(Karakterlap!$V$7,$A$24:$I$33,9,FALSE),0)</f>
        <v>11</v>
      </c>
      <c r="BI42" s="40">
        <f>VLOOKUP("k10+8",$I$2:$J$11,2,FALSE)</f>
        <v>14</v>
      </c>
      <c r="BJ42" s="40">
        <f>VLOOKUP("2k6+6",$I$2:$J$11,2,FALSE)+IFERROR(VLOOKUP(Karakterlap!$V$7,$A$24:$J$33,10,FALSE),0)</f>
        <v>13</v>
      </c>
      <c r="BK42" s="40">
        <f>VLOOKUP("k6+12",$I$2:$J$11,2,FALSE)</f>
        <v>16</v>
      </c>
      <c r="BL42" s="40">
        <f>IF((SUM(Karakterlap!$F$3:$F$12)-SUM(BB42:BK42))&lt;0,0,SUM(Karakterlap!$F$3:$F$12)-SUM(BB42:BK42))</f>
        <v>0</v>
      </c>
      <c r="BM42" t="e">
        <f>IF(Karakterlap!$F$3&gt;18,IF((Karakterlap!$F$3-IF(BB42&gt;18,BB42,18))&gt;0,Karakterlap!$F$3-IF(BB42&gt;18,BB42,18),0),0)+IF(Karakterlap!$F$4&gt;18,IF((Karakterlap!$F$4-IF(BC42&gt;18,BC42,18))&gt;0,Karakterlap!$F$4-IF(BC42&gt;18,BC42,18),0),0)+IF(Karakterlap!$F$5&gt;18,IF((Karakterlap!$F$5-IF(BD42&gt;18,BD42,18))&gt;0,Karakterlap!$F$5-IF(BD42&gt;18,BD42,18),0),0)+IF(Karakterlap!$F$6&gt;18,IF((Karakterlap!$F$6-IF(BE42&gt;18,BE42,18))&gt;0,Karakterlap!$F$6-IF(BE42&gt;18,BE42,18),0),0)+IF(Karakterlap!$F$7&gt;18,IF((Karakterlap!$F$7-IF(BF42&gt;18,BF42,18))&gt;0,Karakterlap!$F$7-IF(BF42&gt;18,BF42,18),0),0)+IF(Karakterlap!$F$8&gt;18,IF((Karakterlap!$F$8-IF(BG42&gt;18,BG42,18))&gt;0,Karakterlap!$F$8-IF(BG42&gt;18,BG42,18),0),0)+IF(Karakterlap!$F$9&gt;18,IF((Karakterlap!$F$9-IF(BH42&gt;18,BH42,18))&gt;0,Karakterlap!$F$9-IF(BH42&gt;18,BH42,18),0),0)+IF(Karakterlap!$F$10&gt;18,IF((Karakterlap!$F$10-IF(BI42&gt;18,BI42,18))&gt;0,Karakterlap!$F$10-IF(BI42&gt;18,BI42,18),0),0)+IF(Karakterlap!$F$11&gt;18,IF((Karakterlap!$F$11-IF(BJ42&gt;18,BJ42,18))&gt;0,Karakterlap!$F$11-IF(BJ42&gt;18,BJ42,18),0),0)+IF(Karakterlap!$F$12&gt;18,IF((Karakterlap!$F$12-IF(BK42&gt;18,BK42,18))&gt;0,Karakterlap!$F$12-IF(BK42&gt;18,BK42,18),0),0)</f>
        <v>#VALUE!</v>
      </c>
    </row>
    <row r="43" spans="1:65" x14ac:dyDescent="0.25">
      <c r="L43" t="s">
        <v>47</v>
      </c>
      <c r="M43">
        <v>0</v>
      </c>
      <c r="N43">
        <v>151</v>
      </c>
      <c r="O43">
        <v>371</v>
      </c>
      <c r="P43">
        <v>801</v>
      </c>
      <c r="Q43">
        <v>1651</v>
      </c>
      <c r="R43">
        <v>3201</v>
      </c>
      <c r="S43">
        <v>6401</v>
      </c>
      <c r="T43">
        <v>12001</v>
      </c>
      <c r="U43">
        <v>25001</v>
      </c>
      <c r="V43">
        <v>45001</v>
      </c>
      <c r="W43">
        <v>65001</v>
      </c>
      <c r="X43">
        <v>90001</v>
      </c>
      <c r="Y43">
        <f>IFERROR(IF(VLOOKUP(L43,Karakterlap!$P$3:$Z$4,10,FALSE)&gt;13,110001+((VLOOKUP(L43,Karakterlap!$P$3:$Z$4,10,FALSE)-13)*35000),110001),110001)</f>
        <v>110001</v>
      </c>
      <c r="Z43">
        <v>5</v>
      </c>
      <c r="AA43">
        <v>20</v>
      </c>
      <c r="AB43">
        <v>75</v>
      </c>
      <c r="AC43">
        <v>0</v>
      </c>
      <c r="AD43">
        <f>IFERROR(VLOOKUP(L43,Karakterlap!$P$3:$Z$4,10,FALSE)*12,12)</f>
        <v>12</v>
      </c>
      <c r="AE43">
        <f>IFERROR(IF(Karakterlap!$P$5="Váltott kaszt",IF(Karakterlap!$P$3=Adattábla!$L43,Karakterlap!$Y$3*5,IF(Karakterlap!$P$4=Adattábla!$L43,(Karakterlap!$Y$4-Adattábla!$I$20)*5,5)),VLOOKUP(Adattábla!$L43,Karakterlap!$P$3:$Z$4,10,FALSE)*5),5)</f>
        <v>5</v>
      </c>
      <c r="AF43">
        <f>IFERROR(IF(Karakterlap!$P$5="Váltott kaszt",IF(Karakterlap!$P$3=Adattábla!$L43,Karakterlap!$Y$3*5,IF(Karakterlap!$P$4=Adattábla!$L43,(Karakterlap!$Y$4-Adattábla!$I$20)*5,5)),VLOOKUP(Adattábla!$L43,Karakterlap!$P$3:$Z$4,10,FALSE)*5),5)</f>
        <v>5</v>
      </c>
      <c r="AG43">
        <v>4</v>
      </c>
      <c r="AH43">
        <f>IF(Karakterlap!$P$5="Iker kaszt",IF(Karakterlap!$P$3=L43,IFERROR((Karakterlap!$P$6*7)+(VLOOKUP(L43,Karakterlap!$P$3:$Z$4,10,FALSE)-Karakterlap!$P$6),7),IF(Karakterlap!$P$4=L43,VLOOKUP(L43,Karakterlap!$P$3:$Z$4,10,FALSE),7)),IF(Karakterlap!$P$5="Váltott kaszt",IF(L43=Karakterlap!$P$3,(Karakterlap!$Y$3+3)*7,VLOOKUP(L43,Karakterlap!$P$3:$Z$4,10,FALSE)*7),IFERROR(VLOOKUP(L43,Karakterlap!$P$3:$Z$4,10,FALSE)*7,7)))</f>
        <v>7</v>
      </c>
      <c r="AI43">
        <v>0</v>
      </c>
      <c r="AJ43">
        <v>7</v>
      </c>
      <c r="AK43">
        <v>6</v>
      </c>
      <c r="AL43">
        <f>IFERROR(VLOOKUP(L43,Karakterlap!$P$3:$Z$4,10,FALSE)*($E$18+5),$E$18+5)</f>
        <v>11</v>
      </c>
      <c r="AN43" t="str">
        <f>IFERROR(IF(VLOOKUP("Lovag",Karakterlap!$P$3:$Z$4,10,FALSE)&gt;=4,IF(VLOOKUP("Lovag",Karakterlap!$P$3:$Z$4,10,FALSE)&gt;=12,"Pyarroni Mf","Pyarroni Af"),""),"más kaszt")</f>
        <v>más kaszt</v>
      </c>
      <c r="AO43" t="str">
        <f>IFERROR(IF(VLOOKUP(L43,Karakterlap!$P$3:$Z$4,10,FALSE)&gt;=4,IF(VLOOKUP(L43,Karakterlap!$P$3:$Z$4,10,FALSE)&gt;=12,29+(IF(Karakterlap!$F$9&gt;10,Karakterlap!$F$9-10,0))+((VLOOKUP(L43,Karakterlap!$P$3:$Z$4,10,FALSE)-12)*4),4+(IF(Karakterlap!$F$9&gt;10,Karakterlap!$F$9-10,0))+((VLOOKUP(L43,Karakterlap!$P$3:$Z$4,10,FALSE)-4)*3)),""),"más kaszt")</f>
        <v>más kaszt</v>
      </c>
      <c r="BA43">
        <f>IFERROR(IF(Karakterlap!$P$6&gt;13,110001+((Karakterlap!$P$6-13)*35000),110001),110001)</f>
        <v>110001</v>
      </c>
      <c r="BB43" s="40">
        <f>VLOOKUP("k6+12",$I$2:$J$11,2,FALSE)+IFERROR(VLOOKUP(Karakterlap!$V$7,$A$24:$C$33,3,FALSE),0)</f>
        <v>16</v>
      </c>
      <c r="BC43" s="40">
        <f>VLOOKUP("k10+8",$I$2:$J$11,2,FALSE)+IFERROR(VLOOKUP(Karakterlap!$V$7,$A$24:$D$33,4,FALSE),0)</f>
        <v>14</v>
      </c>
      <c r="BD43" s="40">
        <f>VLOOKUP("3k6(2x)",$I$2:$J$11,2,FALSE)+IFERROR(VLOOKUP(Karakterlap!$V$7,$A$24:$E$33,5,FALSE),0)</f>
        <v>11</v>
      </c>
      <c r="BE43" s="40">
        <f>VLOOKUP("3k6(2x)",$I$2:$J$11,2,FALSE)+IFERROR(VLOOKUP(Karakterlap!$V$7,$A$24:$F$33,6,FALSE),0)</f>
        <v>11</v>
      </c>
      <c r="BF43" s="40">
        <f>VLOOKUP("k10+10",$I$2:$J$11,2,FALSE)+IFERROR(VLOOKUP(Karakterlap!$V$7,$A$24:$G$33,7,FALSE),0)</f>
        <v>16</v>
      </c>
      <c r="BG43" s="40">
        <f>VLOOKUP("2k6+6",$I$2:$J$11,2,FALSE)+IFERROR(VLOOKUP(Karakterlap!$V$7,$A$24:$H$33,8,FALSE),0)</f>
        <v>13</v>
      </c>
      <c r="BH43" s="40">
        <f>VLOOKUP("2k6+6",$I$2:$J$11,2,FALSE)+IFERROR(VLOOKUP(Karakterlap!$V$7,$A$24:$I$33,9,FALSE),0)</f>
        <v>13</v>
      </c>
      <c r="BI43" s="40">
        <f>VLOOKUP("k10+8",$I$2:$J$11,2,FALSE)</f>
        <v>14</v>
      </c>
      <c r="BJ43" s="40">
        <f>VLOOKUP("3k6(2x)",$I$2:$J$11,2,FALSE)+IFERROR(VLOOKUP(Karakterlap!$V$7,$A$24:$J$33,10,FALSE),0)</f>
        <v>11</v>
      </c>
      <c r="BK43" s="40">
        <f>VLOOKUP("2k6+6",$I$2:$J$11,2,FALSE)</f>
        <v>13</v>
      </c>
      <c r="BL43" s="40">
        <f>IF((SUM(Karakterlap!$F$3:$F$12)-SUM(BB43:BK43))&lt;0,0,SUM(Karakterlap!$F$3:$F$12)-SUM(BB43:BK43))</f>
        <v>0</v>
      </c>
      <c r="BM43" t="e">
        <f>IF(Karakterlap!$F$3&gt;18,IF((Karakterlap!$F$3-IF(BB43&gt;18,BB43,18))&gt;0,Karakterlap!$F$3-IF(BB43&gt;18,BB43,18),0),0)+IF(Karakterlap!$F$4&gt;18,IF((Karakterlap!$F$4-IF(BC43&gt;18,BC43,18))&gt;0,Karakterlap!$F$4-IF(BC43&gt;18,BC43,18),0),0)+IF(Karakterlap!$F$5&gt;18,IF((Karakterlap!$F$5-IF(BD43&gt;18,BD43,18))&gt;0,Karakterlap!$F$5-IF(BD43&gt;18,BD43,18),0),0)+IF(Karakterlap!$F$6&gt;18,IF((Karakterlap!$F$6-IF(BE43&gt;18,BE43,18))&gt;0,Karakterlap!$F$6-IF(BE43&gt;18,BE43,18),0),0)+IF(Karakterlap!$F$7&gt;18,IF((Karakterlap!$F$7-IF(BF43&gt;18,BF43,18))&gt;0,Karakterlap!$F$7-IF(BF43&gt;18,BF43,18),0),0)+IF(Karakterlap!$F$8&gt;18,IF((Karakterlap!$F$8-IF(BG43&gt;18,BG43,18))&gt;0,Karakterlap!$F$8-IF(BG43&gt;18,BG43,18),0),0)+IF(Karakterlap!$F$9&gt;18,IF((Karakterlap!$F$9-IF(BH43&gt;18,BH43,18))&gt;0,Karakterlap!$F$9-IF(BH43&gt;18,BH43,18),0),0)+IF(Karakterlap!$F$10&gt;18,IF((Karakterlap!$F$10-IF(BI43&gt;18,BI43,18))&gt;0,Karakterlap!$F$10-IF(BI43&gt;18,BI43,18),0),0)+IF(Karakterlap!$F$11&gt;18,IF((Karakterlap!$F$11-IF(BJ43&gt;18,BJ43,18))&gt;0,Karakterlap!$F$11-IF(BJ43&gt;18,BJ43,18),0),0)+IF(Karakterlap!$F$12&gt;18,IF((Karakterlap!$F$12-IF(BK43&gt;18,BK43,18))&gt;0,Karakterlap!$F$12-IF(BK43&gt;18,BK43,18),0),0)</f>
        <v>#VALUE!</v>
      </c>
    </row>
    <row r="44" spans="1:65" x14ac:dyDescent="0.25">
      <c r="L44" t="s">
        <v>57</v>
      </c>
      <c r="M44">
        <v>0</v>
      </c>
      <c r="N44">
        <v>101</v>
      </c>
      <c r="O44">
        <v>203</v>
      </c>
      <c r="P44">
        <v>401</v>
      </c>
      <c r="Q44">
        <v>803</v>
      </c>
      <c r="R44">
        <v>1701</v>
      </c>
      <c r="S44">
        <v>4501</v>
      </c>
      <c r="T44">
        <v>9001</v>
      </c>
      <c r="U44">
        <v>22001</v>
      </c>
      <c r="V44">
        <v>46501</v>
      </c>
      <c r="W44">
        <v>68501</v>
      </c>
      <c r="X44">
        <v>98001</v>
      </c>
      <c r="Y44">
        <f>IFERROR(IF(VLOOKUP(L44,Karakterlap!$P$3:$Z$4,10,FALSE)&gt;13,131501+((VLOOKUP(L44,Karakterlap!$P$3:$Z$4,10,FALSE)-13)*33500),131501),131501)</f>
        <v>131501</v>
      </c>
      <c r="Z44">
        <v>8</v>
      </c>
      <c r="AA44">
        <v>17</v>
      </c>
      <c r="AB44">
        <v>72</v>
      </c>
      <c r="AC44">
        <v>10</v>
      </c>
      <c r="AD44">
        <f>IFERROR(VLOOKUP(L44,Karakterlap!$P$3:$Z$4,10,FALSE)*6,6)</f>
        <v>6</v>
      </c>
      <c r="AE44">
        <f>IFERROR(IF(Karakterlap!$P$5="Váltott kaszt",IF(Karakterlap!$P$3=Adattábla!$L44,Karakterlap!$Y$3*1,IF(Karakterlap!$P$4=Adattábla!$L44,(Karakterlap!$Y$4-Adattábla!$I$20)*1,1)),VLOOKUP(Adattábla!$L44,Karakterlap!$P$3:$Z$4,10,FALSE)*1),1)</f>
        <v>1</v>
      </c>
      <c r="AF44">
        <f>IFERROR(IF(Karakterlap!$P$5="Váltott kaszt",IF(Karakterlap!$P$3=Adattábla!$L44,Karakterlap!$Y$3*1,IF(Karakterlap!$P$4=Adattábla!$L44,(Karakterlap!$Y$4-Adattábla!$I$20)*1,1)),VLOOKUP(Adattábla!$L44,Karakterlap!$P$3:$Z$4,10,FALSE)*1),1)</f>
        <v>1</v>
      </c>
      <c r="AG44">
        <v>8</v>
      </c>
      <c r="AH44">
        <f>IF(Karakterlap!$P$5="Iker kaszt",IF(Karakterlap!$P$3=L44,IFERROR((Karakterlap!$P$6*10)+(VLOOKUP(L44,Karakterlap!$P$3:$Z$4,10,FALSE)-Karakterlap!$P$6),10),IF(Karakterlap!$P$4=L44,VLOOKUP(L44,Karakterlap!$P$3:$Z$4,10,FALSE),10)),IF(Karakterlap!$P$5="Váltott kaszt",IF(L44=Karakterlap!$P$3,(Karakterlap!$Y$3+3)*10,VLOOKUP(L44,Karakterlap!$P$3:$Z$4,10,FALSE)*10),IFERROR(VLOOKUP(L44,Karakterlap!$P$3:$Z$4,10,FALSE)*10,10)))</f>
        <v>10</v>
      </c>
      <c r="AI44">
        <f>IFERROR(IF(Karakterlap!$P$5="Váltott kaszt",IF(L44=Karakterlap!$P$3,Karakterlap!$P$6*62,VLOOKUP(L44,Karakterlap!$P$3:$Z$4,10,FALSE)*62),VLOOKUP(L44,Karakterlap!$P$3:$Z$4,10,FALSE)*62),62)</f>
        <v>62</v>
      </c>
      <c r="AJ44">
        <v>4</v>
      </c>
      <c r="AK44">
        <v>5</v>
      </c>
      <c r="AL44">
        <f>IFERROR(VLOOKUP(L44,Karakterlap!$P$3:$Z$4,10,FALSE)*($E$18+3),$E$18+3)</f>
        <v>9</v>
      </c>
      <c r="AN44" t="s">
        <v>115</v>
      </c>
      <c r="AQ44" s="17">
        <v>45</v>
      </c>
      <c r="AR44" s="17">
        <v>15</v>
      </c>
      <c r="AS44" s="17">
        <v>10</v>
      </c>
      <c r="AT44" s="17">
        <v>30</v>
      </c>
      <c r="AU44" s="17">
        <v>15</v>
      </c>
      <c r="AV44" s="17">
        <v>25</v>
      </c>
      <c r="AW44" s="17">
        <v>35</v>
      </c>
      <c r="AX44" s="17">
        <v>25</v>
      </c>
      <c r="AY44" s="17">
        <v>25</v>
      </c>
      <c r="AZ44" s="17">
        <v>15</v>
      </c>
      <c r="BA44">
        <f>IFERROR(IF(Karakterlap!$P$6&gt;13,131501+((Karakterlap!$P$6-13)*33500),131501),131501)</f>
        <v>131501</v>
      </c>
      <c r="BB44" s="40">
        <f>VLOOKUP("3k6(2x)",$I$2:$J$11,2,FALSE)+IFERROR(VLOOKUP(Karakterlap!$V$7,$A$24:$C$33,3,FALSE),0)</f>
        <v>11</v>
      </c>
      <c r="BC44" s="40">
        <f>VLOOKUP("3k6(2x)",$I$2:$J$11,2,FALSE)+IFERROR(VLOOKUP(Karakterlap!$V$7,$A$24:$D$33,4,FALSE),0)</f>
        <v>11</v>
      </c>
      <c r="BD44" s="40">
        <f>VLOOKUP("k10+8",$I$2:$J$11,2,FALSE)+IFERROR(VLOOKUP(Karakterlap!$V$7,$A$24:$E$33,5,FALSE),0)</f>
        <v>14</v>
      </c>
      <c r="BE44" s="40">
        <f>VLOOKUP("k6+12",$I$2:$J$11,2,FALSE)+IFERROR(VLOOKUP(Karakterlap!$V$7,$A$24:$F$33,6,FALSE),0)</f>
        <v>16</v>
      </c>
      <c r="BF44" s="40">
        <f>VLOOKUP("3k6(2x)",$I$2:$J$11,2,FALSE)+IFERROR(VLOOKUP(Karakterlap!$V$7,$A$24:$G$33,7,FALSE),0)</f>
        <v>11</v>
      </c>
      <c r="BG44" s="40">
        <f>VLOOKUP("2k6+6",$I$2:$J$11,2,FALSE)+IFERROR(VLOOKUP(Karakterlap!$V$7,$A$24:$H$33,8,FALSE),0)</f>
        <v>13</v>
      </c>
      <c r="BH44" s="40">
        <f>VLOOKUP("2k6+6",$I$2:$J$11,2,FALSE)+IFERROR(VLOOKUP(Karakterlap!$V$7,$A$24:$I$33,9,FALSE),0)</f>
        <v>13</v>
      </c>
      <c r="BI44" s="40">
        <f>VLOOKUP("3k6",$I$2:$J$11,2,FALSE)</f>
        <v>10</v>
      </c>
      <c r="BJ44" s="40">
        <f>VLOOKUP("3k6(2x)",$I$2:$J$11,2,FALSE)+IFERROR(VLOOKUP(Karakterlap!$V$7,$A$24:$J$33,10,FALSE),0)</f>
        <v>11</v>
      </c>
      <c r="BK44" s="40">
        <f>VLOOKUP("k6+12",$I$2:$J$11,2,FALSE)</f>
        <v>16</v>
      </c>
      <c r="BL44" s="40">
        <f>IF((SUM(Karakterlap!$F$3:$F$12)-SUM(BB44:BK44))&lt;0,0,SUM(Karakterlap!$F$3:$F$12)-SUM(BB44:BK44))</f>
        <v>0</v>
      </c>
      <c r="BM44" t="e">
        <f>IF(Karakterlap!$F$3&gt;18,IF((Karakterlap!$F$3-IF(BB44&gt;18,BB44,18))&gt;0,Karakterlap!$F$3-IF(BB44&gt;18,BB44,18),0),0)+IF(Karakterlap!$F$4&gt;18,IF((Karakterlap!$F$4-IF(BC44&gt;18,BC44,18))&gt;0,Karakterlap!$F$4-IF(BC44&gt;18,BC44,18),0),0)+IF(Karakterlap!$F$5&gt;18,IF((Karakterlap!$F$5-IF(BD44&gt;18,BD44,18))&gt;0,Karakterlap!$F$5-IF(BD44&gt;18,BD44,18),0),0)+IF(Karakterlap!$F$6&gt;18,IF((Karakterlap!$F$6-IF(BE44&gt;18,BE44,18))&gt;0,Karakterlap!$F$6-IF(BE44&gt;18,BE44,18),0),0)+IF(Karakterlap!$F$7&gt;18,IF((Karakterlap!$F$7-IF(BF44&gt;18,BF44,18))&gt;0,Karakterlap!$F$7-IF(BF44&gt;18,BF44,18),0),0)+IF(Karakterlap!$F$8&gt;18,IF((Karakterlap!$F$8-IF(BG44&gt;18,BG44,18))&gt;0,Karakterlap!$F$8-IF(BG44&gt;18,BG44,18),0),0)+IF(Karakterlap!$F$9&gt;18,IF((Karakterlap!$F$9-IF(BH44&gt;18,BH44,18))&gt;0,Karakterlap!$F$9-IF(BH44&gt;18,BH44,18),0),0)+IF(Karakterlap!$F$10&gt;18,IF((Karakterlap!$F$10-IF(BI44&gt;18,BI44,18))&gt;0,Karakterlap!$F$10-IF(BI44&gt;18,BI44,18),0),0)+IF(Karakterlap!$F$11&gt;18,IF((Karakterlap!$F$11-IF(BJ44&gt;18,BJ44,18))&gt;0,Karakterlap!$F$11-IF(BJ44&gt;18,BJ44,18),0),0)+IF(Karakterlap!$F$12&gt;18,IF((Karakterlap!$F$12-IF(BK44&gt;18,BK44,18))&gt;0,Karakterlap!$F$12-IF(BK44&gt;18,BK44,18),0),0)</f>
        <v>#VALUE!</v>
      </c>
    </row>
    <row r="45" spans="1:65" x14ac:dyDescent="0.25">
      <c r="L45" t="s">
        <v>58</v>
      </c>
      <c r="M45">
        <v>0</v>
      </c>
      <c r="N45">
        <v>171</v>
      </c>
      <c r="O45">
        <v>351</v>
      </c>
      <c r="P45">
        <v>1001</v>
      </c>
      <c r="Q45">
        <v>2201</v>
      </c>
      <c r="R45">
        <v>4401</v>
      </c>
      <c r="S45">
        <v>7501</v>
      </c>
      <c r="T45">
        <v>15001</v>
      </c>
      <c r="U45">
        <v>30001</v>
      </c>
      <c r="V45">
        <v>55001</v>
      </c>
      <c r="W45">
        <v>75001</v>
      </c>
      <c r="X45">
        <v>95001</v>
      </c>
      <c r="Y45">
        <f>IFERROR(IF(VLOOKUP(L45,Karakterlap!$P$3:$Z$4,10,FALSE)&gt;13,145001+((VLOOKUP(L45,Karakterlap!$P$3:$Z$4,10,FALSE)-13)*40000),145001),145001)</f>
        <v>145001</v>
      </c>
      <c r="Z45">
        <v>10</v>
      </c>
      <c r="AA45">
        <v>20</v>
      </c>
      <c r="AB45">
        <v>75</v>
      </c>
      <c r="AC45">
        <v>10</v>
      </c>
      <c r="AD45">
        <f>IFERROR(VLOOKUP(L45,Karakterlap!$P$3:$Z$4,10,FALSE)*9,9)</f>
        <v>9</v>
      </c>
      <c r="AE45">
        <f>IFERROR(IF(Karakterlap!$P$5="Váltott kaszt",IF(Karakterlap!$P$3=Adattábla!$L45,Karakterlap!$Y$3*2,IF(Karakterlap!$P$4=Adattábla!$L45,(Karakterlap!$Y$4-Adattábla!$I$20)*2,2)),VLOOKUP(Adattábla!$L45,Karakterlap!$P$3:$Z$4,10,FALSE)*2),2)</f>
        <v>2</v>
      </c>
      <c r="AF45">
        <f>IFERROR(IF(Karakterlap!$P$5="Váltott kaszt",IF(Karakterlap!$P$3=Adattábla!$L45,Karakterlap!$Y$3*2,IF(Karakterlap!$P$4=Adattábla!$L45,(Karakterlap!$Y$4-Adattábla!$I$20)*2,2)),VLOOKUP(Adattábla!$L45,Karakterlap!$P$3:$Z$4,10,FALSE)*2),2)</f>
        <v>2</v>
      </c>
      <c r="AG45">
        <v>4</v>
      </c>
      <c r="AH45">
        <f>IF(Karakterlap!$P$5="Iker kaszt",IF(Karakterlap!$P$3=L45,IFERROR((Karakterlap!$P$6*6)+(VLOOKUP(L45,Karakterlap!$P$3:$Z$4,10,FALSE)-Karakterlap!$P$6),6),IF(Karakterlap!$P$4=L45,VLOOKUP(L45,Karakterlap!$P$3:$Z$4,10,FALSE),6)),IF(Karakterlap!$P$5="Váltott kaszt",IF(L45=Karakterlap!$P$3,(Karakterlap!$Y$3+3)*6,VLOOKUP(L45,Karakterlap!$P$3:$Z$4,10,FALSE)*6),IFERROR(VLOOKUP(L45,Karakterlap!$P$3:$Z$4,10,FALSE)*6,6)))</f>
        <v>6</v>
      </c>
      <c r="AI45">
        <f>IFERROR(IF(Karakterlap!$P$5="Váltott kaszt",IF(L45=Karakterlap!$P$3,Karakterlap!$P$6*45,VLOOKUP(L45,Karakterlap!$P$3:$Z$4,10,FALSE)*45),VLOOKUP(L45,Karakterlap!$P$3:$Z$4,10,FALSE)*45),45)</f>
        <v>45</v>
      </c>
      <c r="AJ45">
        <v>5</v>
      </c>
      <c r="AK45">
        <v>6</v>
      </c>
      <c r="AL45">
        <f>IFERROR(VLOOKUP(L45,Karakterlap!$P$3:$Z$4,10,FALSE)*($E$18+3),$E$18+3)</f>
        <v>9</v>
      </c>
      <c r="AM45">
        <f>IFERROR(VLOOKUP(L45,Karakterlap!$P$3:$Z$4,10,FALSE)*(IF(Karakterlap!$F$9&gt;10,Karakterlap!$F$9-10,0)),0)</f>
        <v>0</v>
      </c>
      <c r="AN45" t="s">
        <v>109</v>
      </c>
      <c r="AO45" t="str">
        <f>IFERROR((IF(Karakterlap!$F$9&gt;10,Karakterlap!$F$9-10,0))+5+((VLOOKUP(L45,Karakterlap!$P$3:$Z$4,10,FALSE)-1)*4),"más kaszt")</f>
        <v>más kaszt</v>
      </c>
      <c r="AQ45" s="17">
        <v>25</v>
      </c>
      <c r="AR45" s="17">
        <v>5</v>
      </c>
      <c r="AS45" s="17">
        <v>10</v>
      </c>
      <c r="AT45" s="17">
        <v>20</v>
      </c>
      <c r="AU45" s="17">
        <v>10</v>
      </c>
      <c r="AV45" s="17">
        <v>5</v>
      </c>
      <c r="AW45" s="17">
        <v>5</v>
      </c>
      <c r="AX45" s="17">
        <v>10</v>
      </c>
      <c r="AZ45" s="17">
        <v>5</v>
      </c>
      <c r="BA45">
        <f>IFERROR(IF(Karakterlap!$P$6&gt;13,145001+((Karakterlap!$P$6-13)*40000),145001),145001)</f>
        <v>145001</v>
      </c>
      <c r="BB45" s="40">
        <f>VLOOKUP("k10+8",$I$2:$J$11,2,FALSE)+IFERROR(VLOOKUP(Karakterlap!$V$7,$A$24:$C$33,3,FALSE),0)</f>
        <v>14</v>
      </c>
      <c r="BC45" s="40">
        <f>VLOOKUP("2k6+6",$I$2:$J$11,2,FALSE)+IFERROR(VLOOKUP(Karakterlap!$V$7,$A$24:$D$33,4,FALSE),0)</f>
        <v>13</v>
      </c>
      <c r="BD45" s="40">
        <f>VLOOKUP("k10+8",$I$2:$J$11,2,FALSE)+IFERROR(VLOOKUP(Karakterlap!$V$7,$A$24:$E$33,5,FALSE),0)</f>
        <v>14</v>
      </c>
      <c r="BE45" s="40">
        <f>VLOOKUP("k10+8",$I$2:$J$11,2,FALSE)+IFERROR(VLOOKUP(Karakterlap!$V$7,$A$24:$F$33,6,FALSE),0)</f>
        <v>14</v>
      </c>
      <c r="BF45" s="40">
        <f>VLOOKUP("2k6+6",$I$2:$J$11,2,FALSE)+IFERROR(VLOOKUP(Karakterlap!$V$7,$A$24:$G$33,7,FALSE),0)</f>
        <v>13</v>
      </c>
      <c r="BG45" s="40">
        <f>VLOOKUP("k6+12",$I$2:$J$11,2,FALSE)+IFERROR(VLOOKUP(Karakterlap!$V$7,$A$24:$H$33,8,FALSE),0)</f>
        <v>16</v>
      </c>
      <c r="BH45" s="40">
        <f>VLOOKUP("k10+8(2x)",$I$2:$J$11,2,FALSE)+IFERROR(VLOOKUP(Karakterlap!$V$7,$A$24:$I$33,9,FALSE),0)</f>
        <v>15</v>
      </c>
      <c r="BI45" s="40">
        <f>VLOOKUP("2k6+6",$I$2:$J$11,2,FALSE)</f>
        <v>13</v>
      </c>
      <c r="BJ45" s="40">
        <f>VLOOKUP("k10+8",$I$2:$J$11,2,FALSE)+IFERROR(VLOOKUP(Karakterlap!$V$7,$A$24:$J$33,10,FALSE),0)</f>
        <v>14</v>
      </c>
      <c r="BK45" s="40">
        <f>VLOOKUP("k10+8",$I$2:$J$11,2,FALSE)</f>
        <v>14</v>
      </c>
      <c r="BL45" s="40">
        <f>IF((SUM(Karakterlap!$F$3:$F$12)-SUM(BB45:BK45))&lt;0,0,SUM(Karakterlap!$F$3:$F$12)-SUM(BB45:BK45))</f>
        <v>0</v>
      </c>
      <c r="BM45" t="e">
        <f>IF(Karakterlap!$F$3&gt;18,IF((Karakterlap!$F$3-IF(BB45&gt;18,BB45,18))&gt;0,Karakterlap!$F$3-IF(BB45&gt;18,BB45,18),0),0)+IF(Karakterlap!$F$4&gt;18,IF((Karakterlap!$F$4-IF(BC45&gt;18,BC45,18))&gt;0,Karakterlap!$F$4-IF(BC45&gt;18,BC45,18),0),0)+IF(Karakterlap!$F$5&gt;18,IF((Karakterlap!$F$5-IF(BD45&gt;18,BD45,18))&gt;0,Karakterlap!$F$5-IF(BD45&gt;18,BD45,18),0),0)+IF(Karakterlap!$F$6&gt;18,IF((Karakterlap!$F$6-IF(BE45&gt;18,BE45,18))&gt;0,Karakterlap!$F$6-IF(BE45&gt;18,BE45,18),0),0)+IF(Karakterlap!$F$7&gt;18,IF((Karakterlap!$F$7-IF(BF45&gt;18,BF45,18))&gt;0,Karakterlap!$F$7-IF(BF45&gt;18,BF45,18),0),0)+IF(Karakterlap!$F$8&gt;18,IF((Karakterlap!$F$8-IF(BG45&gt;18,BG45,18))&gt;0,Karakterlap!$F$8-IF(BG45&gt;18,BG45,18),0),0)+IF(Karakterlap!$F$9&gt;18,IF((Karakterlap!$F$9-IF(BH45&gt;18,BH45,18))&gt;0,Karakterlap!$F$9-IF(BH45&gt;18,BH45,18),0),0)+IF(Karakterlap!$F$10&gt;18,IF((Karakterlap!$F$10-IF(BI45&gt;18,BI45,18))&gt;0,Karakterlap!$F$10-IF(BI45&gt;18,BI45,18),0),0)+IF(Karakterlap!$F$11&gt;18,IF((Karakterlap!$F$11-IF(BJ45&gt;18,BJ45,18))&gt;0,Karakterlap!$F$11-IF(BJ45&gt;18,BJ45,18),0),0)+IF(Karakterlap!$F$12&gt;18,IF((Karakterlap!$F$12-IF(BK45&gt;18,BK45,18))&gt;0,Karakterlap!$F$12-IF(BK45&gt;18,BK45,18),0),0)</f>
        <v>#VALUE!</v>
      </c>
    </row>
    <row r="46" spans="1:65" x14ac:dyDescent="0.25">
      <c r="L46" s="9" t="s">
        <v>59</v>
      </c>
      <c r="M46" s="9">
        <v>0</v>
      </c>
      <c r="N46" s="9">
        <v>161</v>
      </c>
      <c r="O46" s="9">
        <v>331</v>
      </c>
      <c r="P46" s="9">
        <v>661</v>
      </c>
      <c r="Q46" s="9">
        <v>1301</v>
      </c>
      <c r="R46" s="9">
        <v>2601</v>
      </c>
      <c r="S46" s="9">
        <v>5001</v>
      </c>
      <c r="T46" s="9">
        <v>9001</v>
      </c>
      <c r="U46" s="9">
        <v>23001</v>
      </c>
      <c r="V46" s="9">
        <v>50001</v>
      </c>
      <c r="W46" s="9">
        <v>90001</v>
      </c>
      <c r="X46" s="9">
        <v>130001</v>
      </c>
      <c r="Y46" s="9">
        <f>IFERROR(IF(VLOOKUP(L46,Karakterlap!$P$3:$Z$4,10,FALSE)&gt;13,165001+((VLOOKUP(L46,Karakterlap!$P$3:$Z$4,10,FALSE)-13)*50000),165001),165001)</f>
        <v>165001</v>
      </c>
      <c r="Z46" s="9">
        <v>5</v>
      </c>
      <c r="AA46" s="9">
        <v>17</v>
      </c>
      <c r="AB46" s="9">
        <v>72</v>
      </c>
      <c r="AC46" s="9">
        <v>0</v>
      </c>
      <c r="AD46" s="9">
        <f>IFERROR(VLOOKUP(L46,Karakterlap!$P$3:$Z$4,10,FALSE)*8,8)</f>
        <v>8</v>
      </c>
      <c r="AE46" s="9">
        <f>IFERROR(IF(Karakterlap!$P$5="Váltott kaszt",IF(Karakterlap!$P$3=Adattábla!$L46,Karakterlap!$Y$3*3,IF(Karakterlap!$P$4=Adattábla!$L46,(Karakterlap!$Y$4-Adattábla!$I$20)*3,3)),VLOOKUP(Adattábla!$L46,Karakterlap!$P$3:$Z$4,10,FALSE)*3),3)</f>
        <v>3</v>
      </c>
      <c r="AF46" s="9">
        <f>IFERROR(IF(Karakterlap!$P$5="Váltott kaszt",IF(Karakterlap!$P$3=Adattábla!$L46,Karakterlap!$Y$3*3,IF(Karakterlap!$P$4=Adattábla!$L46,(Karakterlap!$Y$4-Adattábla!$I$20)*3,3)),VLOOKUP(Adattábla!$L46,Karakterlap!$P$3:$Z$4,10,FALSE)*3),3)</f>
        <v>3</v>
      </c>
      <c r="AG46" s="9">
        <v>6</v>
      </c>
      <c r="AH46" s="9">
        <f>IF(Karakterlap!$P$5="Iker kaszt",IF(Karakterlap!$P$3=L46,IFERROR((Karakterlap!$P$6*10)+(VLOOKUP(L46,Karakterlap!$P$3:$Z$4,10,FALSE)-Karakterlap!$P$6),10),IF(Karakterlap!$P$4=L46,VLOOKUP(L46,Karakterlap!$P$3:$Z$4,10,FALSE),10)),IF(Karakterlap!$P$5="Váltott kaszt",IF(L46=Karakterlap!$P$3,(Karakterlap!$Y$3+3)*10,VLOOKUP(L46,Karakterlap!$P$3:$Z$4,10,FALSE)*10),IFERROR(VLOOKUP(L46,Karakterlap!$P$3:$Z$4,10,FALSE)*10,10)))</f>
        <v>10</v>
      </c>
      <c r="AI46" s="9">
        <v>0</v>
      </c>
      <c r="AJ46" s="9">
        <v>6</v>
      </c>
      <c r="AK46" s="9">
        <v>6</v>
      </c>
      <c r="AL46" s="9">
        <f>IFERROR(VLOOKUP(L46,Karakterlap!$P$3:$Z$4,10,FALSE)*($E$18+2),$E$18+2)</f>
        <v>8</v>
      </c>
      <c r="AM46" s="9">
        <f>IFERROR(IF(VLOOKUP(L46,Karakterlap!$P$3:$Z$4,10,FALSE)&gt;1,9+((VLOOKUP(L46,Karakterlap!$P$3:$Z$4,10,FALSE)-1)*(($E$18)+3)),9),9)</f>
        <v>9</v>
      </c>
      <c r="AN46" t="s">
        <v>109</v>
      </c>
      <c r="AO46" t="str">
        <f>IFERROR((IF(Karakterlap!$F$9&gt;10,Karakterlap!$F$9-10,0))+5+((VLOOKUP(L46,Karakterlap!$P$3:$Z$4,10,FALSE)-1)*4),"más kaszt")</f>
        <v>más kaszt</v>
      </c>
      <c r="BA46" s="9">
        <f>IFERROR(IF(Karakterlap!$P$6&gt;13,165001+((Karakterlap!$P$6-13)*50000),165001),165001)</f>
        <v>165001</v>
      </c>
      <c r="BB46" s="40">
        <f>VLOOKUP("2k6+6",$I$2:$J$11,2,FALSE)+IFERROR(VLOOKUP(Karakterlap!$V$7,$A$24:$C$33,3,FALSE),0)</f>
        <v>13</v>
      </c>
      <c r="BC46" s="40">
        <f>VLOOKUP("2k6+6",$I$2:$J$11,2,FALSE)+IFERROR(VLOOKUP(Karakterlap!$V$7,$A$24:$D$33,4,FALSE),0)</f>
        <v>13</v>
      </c>
      <c r="BD46" s="40">
        <f>VLOOKUP("3k6(2x)",$I$2:$J$11,2,FALSE)+IFERROR(VLOOKUP(Karakterlap!$V$7,$A$24:$E$33,5,FALSE),0)</f>
        <v>11</v>
      </c>
      <c r="BE46" s="40">
        <f>VLOOKUP("3k6(2x)",$I$2:$J$11,2,FALSE)+IFERROR(VLOOKUP(Karakterlap!$V$7,$A$24:$F$33,6,FALSE),0)</f>
        <v>11</v>
      </c>
      <c r="BF46" s="40">
        <f>VLOOKUP("k10+8",$I$2:$J$11,2,FALSE)+IFERROR(VLOOKUP(Karakterlap!$V$7,$A$24:$G$33,7,FALSE),0)</f>
        <v>14</v>
      </c>
      <c r="BG46" s="40">
        <f>VLOOKUP("k10+10",$I$2:$J$11,2,FALSE)+IFERROR(VLOOKUP(Karakterlap!$V$7,$A$24:$H$33,8,FALSE),0)</f>
        <v>16</v>
      </c>
      <c r="BH46" s="40">
        <f>VLOOKUP("k10+8",$I$2:$J$11,2,FALSE)+IFERROR(VLOOKUP(Karakterlap!$V$7,$A$24:$I$33,9,FALSE),0)</f>
        <v>14</v>
      </c>
      <c r="BI46" s="40">
        <f>VLOOKUP("k10+8",$I$2:$J$11,2,FALSE)</f>
        <v>14</v>
      </c>
      <c r="BJ46" s="40">
        <f>VLOOKUP("k6+12",$I$2:$J$11,2,FALSE)+IFERROR(VLOOKUP(Karakterlap!$V$7,$A$24:$J$33,10,FALSE),0)</f>
        <v>16</v>
      </c>
      <c r="BK46" s="40">
        <f>VLOOKUP("k10+8",$I$2:$J$11,2,FALSE)</f>
        <v>14</v>
      </c>
      <c r="BL46" s="40">
        <f>IF((SUM(Karakterlap!$F$3:$F$12)-SUM(BB46:BK46))&lt;0,0,SUM(Karakterlap!$F$3:$F$12)-SUM(BB46:BK46))</f>
        <v>0</v>
      </c>
      <c r="BM46" t="e">
        <f>IF(Karakterlap!$F$3&gt;18,IF((Karakterlap!$F$3-IF(BB46&gt;18,BB46,18))&gt;0,Karakterlap!$F$3-IF(BB46&gt;18,BB46,18),0),0)+IF(Karakterlap!$F$4&gt;18,IF((Karakterlap!$F$4-IF(BC46&gt;18,BC46,18))&gt;0,Karakterlap!$F$4-IF(BC46&gt;18,BC46,18),0),0)+IF(Karakterlap!$F$5&gt;18,IF((Karakterlap!$F$5-IF(BD46&gt;18,BD46,18))&gt;0,Karakterlap!$F$5-IF(BD46&gt;18,BD46,18),0),0)+IF(Karakterlap!$F$6&gt;18,IF((Karakterlap!$F$6-IF(BE46&gt;18,BE46,18))&gt;0,Karakterlap!$F$6-IF(BE46&gt;18,BE46,18),0),0)+IF(Karakterlap!$F$7&gt;18,IF((Karakterlap!$F$7-IF(BF46&gt;18,BF46,18))&gt;0,Karakterlap!$F$7-IF(BF46&gt;18,BF46,18),0),0)+IF(Karakterlap!$F$8&gt;18,IF((Karakterlap!$F$8-IF(BG46&gt;18,BG46,18))&gt;0,Karakterlap!$F$8-IF(BG46&gt;18,BG46,18),0),0)+IF(Karakterlap!$F$9&gt;18,IF((Karakterlap!$F$9-IF(BH46&gt;18,BH46,18))&gt;0,Karakterlap!$F$9-IF(BH46&gt;18,BH46,18),0),0)+IF(Karakterlap!$F$10&gt;18,IF((Karakterlap!$F$10-IF(BI46&gt;18,BI46,18))&gt;0,Karakterlap!$F$10-IF(BI46&gt;18,BI46,18),0),0)+IF(Karakterlap!$F$11&gt;18,IF((Karakterlap!$F$11-IF(BJ46&gt;18,BJ46,18))&gt;0,Karakterlap!$F$11-IF(BJ46&gt;18,BJ46,18),0),0)+IF(Karakterlap!$F$12&gt;18,IF((Karakterlap!$F$12-IF(BK46&gt;18,BK46,18))&gt;0,Karakterlap!$F$12-IF(BK46&gt;18,BK46,18),0),0)</f>
        <v>#VALUE!</v>
      </c>
    </row>
    <row r="47" spans="1:65" x14ac:dyDescent="0.25">
      <c r="L47" t="s">
        <v>87</v>
      </c>
      <c r="M47">
        <v>0</v>
      </c>
      <c r="N47">
        <v>231</v>
      </c>
      <c r="O47">
        <v>501</v>
      </c>
      <c r="P47">
        <v>1000</v>
      </c>
      <c r="Q47">
        <v>2201</v>
      </c>
      <c r="R47">
        <v>5001</v>
      </c>
      <c r="S47">
        <v>10001</v>
      </c>
      <c r="T47">
        <v>18001</v>
      </c>
      <c r="U47">
        <v>35001</v>
      </c>
      <c r="V47">
        <v>70001</v>
      </c>
      <c r="W47">
        <v>150001</v>
      </c>
      <c r="X47">
        <v>200001</v>
      </c>
      <c r="Y47" s="10">
        <f>IFERROR(IF(VLOOKUP(L47,Karakterlap!$P$3:$Z$4,10,FALSE)&gt;13,300001+((VLOOKUP(L47,Karakterlap!$P$3:$Z$4,10,FALSE)-13)*80000),300001),300001)</f>
        <v>300001</v>
      </c>
      <c r="Z47">
        <v>4</v>
      </c>
      <c r="AA47">
        <v>15</v>
      </c>
      <c r="AB47">
        <v>70</v>
      </c>
      <c r="AC47">
        <v>0</v>
      </c>
      <c r="AD47">
        <f>IFERROR(VLOOKUP(L47,Karakterlap!$P$3:$Z$4,10,FALSE)*6,6)</f>
        <v>6</v>
      </c>
      <c r="AE47">
        <f>IFERROR(IF(Karakterlap!$P$5="Váltott kaszt",IF(Karakterlap!$P$3=Adattábla!$L47,Karakterlap!$Y$3*2,IF(Karakterlap!$P$4=Adattábla!$L47,(Karakterlap!$Y$4-Adattábla!$I$20)*2,2)),VLOOKUP(Adattábla!$L47,Karakterlap!$P$3:$Z$4,10,FALSE)*2),2)</f>
        <v>2</v>
      </c>
      <c r="AF47">
        <f>IFERROR(IF(Karakterlap!$P$5="Váltott kaszt",IF(Karakterlap!$P$3=Adattábla!$L47,Karakterlap!$Y$3*2,IF(Karakterlap!$P$4=Adattábla!$L47,(Karakterlap!$Y$4-Adattábla!$I$20)*2,2)),VLOOKUP(Adattábla!$L47,Karakterlap!$P$3:$Z$4,10,FALSE)*2),2)</f>
        <v>2</v>
      </c>
      <c r="AG47">
        <v>6</v>
      </c>
      <c r="AH47">
        <f>IF(Karakterlap!$P$5="Iker kaszt",IF(Karakterlap!$P$3=L47,IFERROR((Karakterlap!$P$6*10)+(VLOOKUP(L47,Karakterlap!$P$3:$Z$4,10,FALSE)-Karakterlap!$P$6),10),IF(Karakterlap!$P$4=L47,VLOOKUP(L47,Karakterlap!$P$3:$Z$4,10,FALSE),10)),IF(Karakterlap!$P$5="Váltott kaszt",IF(L47=Karakterlap!$P$3,(Karakterlap!$Y$3+3)*10,VLOOKUP(L47,Karakterlap!$P$3:$Z$4,10,FALSE)*10),IFERROR(VLOOKUP(L47,Karakterlap!$P$3:$Z$4,10,FALSE)*10,10)))</f>
        <v>10</v>
      </c>
      <c r="AI47">
        <v>0</v>
      </c>
      <c r="AJ47">
        <v>6</v>
      </c>
      <c r="AK47">
        <v>6</v>
      </c>
      <c r="AL47">
        <f>IFERROR(VLOOKUP(L47,Karakterlap!$P$3:$Z$4,10,FALSE)*($E$18+2),$E$18+2)</f>
        <v>8</v>
      </c>
      <c r="AM47">
        <v>9</v>
      </c>
      <c r="AN47" t="s">
        <v>109</v>
      </c>
      <c r="AO47" t="str">
        <f>IFERROR((IF(Karakterlap!$F$9&gt;10,Karakterlap!$F$9-10,0))+5+((VLOOKUP(L47,Karakterlap!$P$3:$Z$4,10,FALSE)-1)*4),"más kaszt")</f>
        <v>más kaszt</v>
      </c>
      <c r="BA47" s="10">
        <f>IFERROR(IF(Karakterlap!$P$6&gt;13,300001+((Karakterlap!$P$6-13)*80000),300001),300001)</f>
        <v>300001</v>
      </c>
      <c r="BB47" s="40">
        <f>VLOOKUP("2k6+6",$I$2:$J$11,2,FALSE)+IFERROR(VLOOKUP(Karakterlap!$V$7,$A$24:$C$33,3,FALSE),0)</f>
        <v>13</v>
      </c>
      <c r="BC47" s="40">
        <f>VLOOKUP("2k6+6",$I$2:$J$11,2,FALSE)+IFERROR(VLOOKUP(Karakterlap!$V$7,$A$24:$D$33,4,FALSE),0)</f>
        <v>13</v>
      </c>
      <c r="BD47" s="40">
        <f>VLOOKUP("3k6(2x)",$I$2:$J$11,2,FALSE)+IFERROR(VLOOKUP(Karakterlap!$V$7,$A$24:$E$33,5,FALSE),0)</f>
        <v>11</v>
      </c>
      <c r="BE47" s="40">
        <f>VLOOKUP("3k6(2x)",$I$2:$J$11,2,FALSE)+IFERROR(VLOOKUP(Karakterlap!$V$7,$A$24:$F$33,6,FALSE),0)</f>
        <v>11</v>
      </c>
      <c r="BF47" s="40">
        <f>VLOOKUP("k10+8",$I$2:$J$11,2,FALSE)+IFERROR(VLOOKUP(Karakterlap!$V$7,$A$24:$G$33,7,FALSE),0)</f>
        <v>14</v>
      </c>
      <c r="BG47" s="40">
        <f>VLOOKUP("k10+10",$I$2:$J$11,2,FALSE)+IFERROR(VLOOKUP(Karakterlap!$V$7,$A$24:$H$33,8,FALSE),0)</f>
        <v>16</v>
      </c>
      <c r="BH47" s="40">
        <f>VLOOKUP("k10+8",$I$2:$J$11,2,FALSE)+IFERROR(VLOOKUP(Karakterlap!$V$7,$A$24:$I$33,9,FALSE),0)</f>
        <v>14</v>
      </c>
      <c r="BI47" s="40">
        <f t="shared" ref="BI47:BI70" si="2">VLOOKUP("k10+8",$I$2:$J$11,2,FALSE)</f>
        <v>14</v>
      </c>
      <c r="BJ47" s="40">
        <f>VLOOKUP("k6+12",$I$2:$J$11,2,FALSE)+IFERROR(VLOOKUP(Karakterlap!$V$7,$A$24:$J$33,10,FALSE),0)</f>
        <v>16</v>
      </c>
      <c r="BK47" s="40">
        <f t="shared" ref="BK47:BK70" si="3">VLOOKUP("k10+8",$I$2:$J$11,2,FALSE)</f>
        <v>14</v>
      </c>
      <c r="BL47" s="40">
        <f>IF((SUM(Karakterlap!$F$3:$F$12)-SUM(BB47:BK47))&lt;0,0,SUM(Karakterlap!$F$3:$F$12)-SUM(BB47:BK47))</f>
        <v>0</v>
      </c>
      <c r="BM47" t="e">
        <f>IF(Karakterlap!$F$3&gt;18,IF((Karakterlap!$F$3-IF(BB47&gt;18,BB47,18))&gt;0,Karakterlap!$F$3-IF(BB47&gt;18,BB47,18),0),0)+IF(Karakterlap!$F$4&gt;18,IF((Karakterlap!$F$4-IF(BC47&gt;18,BC47,18))&gt;0,Karakterlap!$F$4-IF(BC47&gt;18,BC47,18),0),0)+IF(Karakterlap!$F$5&gt;18,IF((Karakterlap!$F$5-IF(BD47&gt;18,BD47,18))&gt;0,Karakterlap!$F$5-IF(BD47&gt;18,BD47,18),0),0)+IF(Karakterlap!$F$6&gt;18,IF((Karakterlap!$F$6-IF(BE47&gt;18,BE47,18))&gt;0,Karakterlap!$F$6-IF(BE47&gt;18,BE47,18),0),0)+IF(Karakterlap!$F$7&gt;18,IF((Karakterlap!$F$7-IF(BF47&gt;18,BF47,18))&gt;0,Karakterlap!$F$7-IF(BF47&gt;18,BF47,18),0),0)+IF(Karakterlap!$F$8&gt;18,IF((Karakterlap!$F$8-IF(BG47&gt;18,BG47,18))&gt;0,Karakterlap!$F$8-IF(BG47&gt;18,BG47,18),0),0)+IF(Karakterlap!$F$9&gt;18,IF((Karakterlap!$F$9-IF(BH47&gt;18,BH47,18))&gt;0,Karakterlap!$F$9-IF(BH47&gt;18,BH47,18),0),0)+IF(Karakterlap!$F$10&gt;18,IF((Karakterlap!$F$10-IF(BI47&gt;18,BI47,18))&gt;0,Karakterlap!$F$10-IF(BI47&gt;18,BI47,18),0),0)+IF(Karakterlap!$F$11&gt;18,IF((Karakterlap!$F$11-IF(BJ47&gt;18,BJ47,18))&gt;0,Karakterlap!$F$11-IF(BJ47&gt;18,BJ47,18),0),0)+IF(Karakterlap!$F$12&gt;18,IF((Karakterlap!$F$12-IF(BK47&gt;18,BK47,18))&gt;0,Karakterlap!$F$12-IF(BK47&gt;18,BK47,18),0),0)</f>
        <v>#VALUE!</v>
      </c>
    </row>
    <row r="48" spans="1:65" x14ac:dyDescent="0.25">
      <c r="L48" t="s">
        <v>88</v>
      </c>
      <c r="M48">
        <v>0</v>
      </c>
      <c r="N48">
        <v>161</v>
      </c>
      <c r="O48">
        <v>331</v>
      </c>
      <c r="P48">
        <v>661</v>
      </c>
      <c r="Q48">
        <v>1301</v>
      </c>
      <c r="R48">
        <v>2601</v>
      </c>
      <c r="S48">
        <v>5001</v>
      </c>
      <c r="T48">
        <v>9001</v>
      </c>
      <c r="U48">
        <v>23001</v>
      </c>
      <c r="V48">
        <v>50001</v>
      </c>
      <c r="W48">
        <v>90001</v>
      </c>
      <c r="X48">
        <v>130001</v>
      </c>
      <c r="Y48">
        <f>IFERROR(IF(VLOOKUP(L48,Karakterlap!$P$3:$Z$4,10,FALSE)&gt;13,165001+((VLOOKUP(L48,Karakterlap!$P$3:$Z$4,10,FALSE)-13)*50000),165001),165001)</f>
        <v>165001</v>
      </c>
      <c r="Z48">
        <v>5</v>
      </c>
      <c r="AA48">
        <v>17</v>
      </c>
      <c r="AB48">
        <v>72</v>
      </c>
      <c r="AC48">
        <v>0</v>
      </c>
      <c r="AD48">
        <f>IFERROR(IF(VLOOKUP(L48,Karakterlap!$P$3:$Z$4,10,FALSE)&lt;5,VLOOKUP(L48,Karakterlap!$P$3:$Z$4,10,FALSE)*8,32+((VLOOKUP(L48,Karakterlap!$P$3:$Z$4,10,FALSE)-4)*4)),8)</f>
        <v>8</v>
      </c>
      <c r="AE48">
        <f>IFERROR(IF(Karakterlap!$P$5="Váltott kaszt",IF(Karakterlap!$P$3=Adattábla!$L48,Karakterlap!$Y$3*3,IF(Karakterlap!$P$4=Adattábla!$L48,(Karakterlap!$Y$4-Adattábla!$I$20)*3,3)),VLOOKUP(Adattábla!$L48,Karakterlap!$P$3:$Z$4,10,FALSE)*3),3)</f>
        <v>3</v>
      </c>
      <c r="AF48">
        <f>IFERROR(IF(Karakterlap!$P$5="Váltott kaszt",IF(Karakterlap!$P$3=Adattábla!$L48,Karakterlap!$Y$3*3,IF(Karakterlap!$P$4=Adattábla!$L48,(Karakterlap!$Y$4-Adattábla!$I$20)*3,3)),VLOOKUP(Adattábla!$L48,Karakterlap!$P$3:$Z$4,10,FALSE)*3),3)</f>
        <v>3</v>
      </c>
      <c r="AG48">
        <v>6</v>
      </c>
      <c r="AH48">
        <f>IF(Karakterlap!$P$5="Iker kaszt",IF(Karakterlap!$P$3=L48,IFERROR((Karakterlap!$P$6*10)+(VLOOKUP(L48,Karakterlap!$P$3:$Z$4,10,FALSE)-Karakterlap!$P$6),10),IF(Karakterlap!$P$4=L48,VLOOKUP(L48,Karakterlap!$P$3:$Z$4,10,FALSE),10)),IF(Karakterlap!$P$5="Váltott kaszt",IF(L48=Karakterlap!$P$3,(Karakterlap!$Y$3+3)*10,VLOOKUP(L48,Karakterlap!$P$3:$Z$4,10,FALSE)*10),IFERROR(VLOOKUP(L48,Karakterlap!$P$3:$Z$4,10,FALSE)*10,10)))</f>
        <v>10</v>
      </c>
      <c r="AI48">
        <v>0</v>
      </c>
      <c r="AJ48">
        <v>6</v>
      </c>
      <c r="AK48">
        <v>6</v>
      </c>
      <c r="AL48">
        <f>IFERROR(VLOOKUP(L48,Karakterlap!$P$3:$Z$4,10,FALSE)*($E$18+2),$E$18+2)</f>
        <v>8</v>
      </c>
      <c r="AM48">
        <f>IFERROR(IF(VLOOKUP(L48,Karakterlap!$P$3:$Z$4,10,FALSE)&gt;1,9+((VLOOKUP(L48,Karakterlap!$P$3:$Z$4,10,FALSE)-1)*(($E$18)+3)),9),9)</f>
        <v>9</v>
      </c>
      <c r="AN48" t="s">
        <v>109</v>
      </c>
      <c r="AO48" t="str">
        <f>IFERROR((IF(Karakterlap!$F$9&gt;10,Karakterlap!$F$9-10,0))+5+((VLOOKUP(L48,Karakterlap!$P$3:$Z$4,10,FALSE)-1)*4),"más kaszt")</f>
        <v>más kaszt</v>
      </c>
      <c r="BA48">
        <f>IFERROR(IF(Karakterlap!$P$6&gt;13,165001+((Karakterlap!$P$6-13)*50000),165001),165001)</f>
        <v>165001</v>
      </c>
      <c r="BB48" s="40">
        <f>VLOOKUP("2k6+6",$I$2:$J$11,2,FALSE)+IFERROR(VLOOKUP(Karakterlap!$V$7,$A$24:$C$33,3,FALSE),0)</f>
        <v>13</v>
      </c>
      <c r="BC48" s="40">
        <f>VLOOKUP("2k6+6",$I$2:$J$11,2,FALSE)+IFERROR(VLOOKUP(Karakterlap!$V$7,$A$24:$D$33,4,FALSE),0)</f>
        <v>13</v>
      </c>
      <c r="BD48" s="40">
        <f>VLOOKUP("3k6(2x)",$I$2:$J$11,2,FALSE)+IFERROR(VLOOKUP(Karakterlap!$V$7,$A$24:$E$33,5,FALSE),0)</f>
        <v>11</v>
      </c>
      <c r="BE48" s="40">
        <f>VLOOKUP("3k6(2x)",$I$2:$J$11,2,FALSE)+IFERROR(VLOOKUP(Karakterlap!$V$7,$A$24:$F$33,6,FALSE),0)</f>
        <v>11</v>
      </c>
      <c r="BF48" s="40">
        <f>VLOOKUP("k10+8",$I$2:$J$11,2,FALSE)+IFERROR(VLOOKUP(Karakterlap!$V$7,$A$24:$G$33,7,FALSE),0)</f>
        <v>14</v>
      </c>
      <c r="BG48" s="40">
        <f>VLOOKUP("k10+10",$I$2:$J$11,2,FALSE)+IFERROR(VLOOKUP(Karakterlap!$V$7,$A$24:$H$33,8,FALSE),0)</f>
        <v>16</v>
      </c>
      <c r="BH48" s="40">
        <f>VLOOKUP("k10+8",$I$2:$J$11,2,FALSE)+IFERROR(VLOOKUP(Karakterlap!$V$7,$A$24:$I$33,9,FALSE),0)</f>
        <v>14</v>
      </c>
      <c r="BI48" s="40">
        <f t="shared" si="2"/>
        <v>14</v>
      </c>
      <c r="BJ48" s="40">
        <f>VLOOKUP("k6+12",$I$2:$J$11,2,FALSE)+IFERROR(VLOOKUP(Karakterlap!$V$7,$A$24:$J$33,10,FALSE),0)</f>
        <v>16</v>
      </c>
      <c r="BK48" s="40">
        <f t="shared" si="3"/>
        <v>14</v>
      </c>
      <c r="BL48" s="40">
        <f>IF((SUM(Karakterlap!$F$3:$F$12)-SUM(BB48:BK48))&lt;0,0,SUM(Karakterlap!$F$3:$F$12)-SUM(BB48:BK48))</f>
        <v>0</v>
      </c>
      <c r="BM48" t="e">
        <f>IF(Karakterlap!$F$3&gt;18,IF((Karakterlap!$F$3-IF(BB48&gt;18,BB48,18))&gt;0,Karakterlap!$F$3-IF(BB48&gt;18,BB48,18),0),0)+IF(Karakterlap!$F$4&gt;18,IF((Karakterlap!$F$4-IF(BC48&gt;18,BC48,18))&gt;0,Karakterlap!$F$4-IF(BC48&gt;18,BC48,18),0),0)+IF(Karakterlap!$F$5&gt;18,IF((Karakterlap!$F$5-IF(BD48&gt;18,BD48,18))&gt;0,Karakterlap!$F$5-IF(BD48&gt;18,BD48,18),0),0)+IF(Karakterlap!$F$6&gt;18,IF((Karakterlap!$F$6-IF(BE48&gt;18,BE48,18))&gt;0,Karakterlap!$F$6-IF(BE48&gt;18,BE48,18),0),0)+IF(Karakterlap!$F$7&gt;18,IF((Karakterlap!$F$7-IF(BF48&gt;18,BF48,18))&gt;0,Karakterlap!$F$7-IF(BF48&gt;18,BF48,18),0),0)+IF(Karakterlap!$F$8&gt;18,IF((Karakterlap!$F$8-IF(BG48&gt;18,BG48,18))&gt;0,Karakterlap!$F$8-IF(BG48&gt;18,BG48,18),0),0)+IF(Karakterlap!$F$9&gt;18,IF((Karakterlap!$F$9-IF(BH48&gt;18,BH48,18))&gt;0,Karakterlap!$F$9-IF(BH48&gt;18,BH48,18),0),0)+IF(Karakterlap!$F$10&gt;18,IF((Karakterlap!$F$10-IF(BI48&gt;18,BI48,18))&gt;0,Karakterlap!$F$10-IF(BI48&gt;18,BI48,18),0),0)+IF(Karakterlap!$F$11&gt;18,IF((Karakterlap!$F$11-IF(BJ48&gt;18,BJ48,18))&gt;0,Karakterlap!$F$11-IF(BJ48&gt;18,BJ48,18),0),0)+IF(Karakterlap!$F$12&gt;18,IF((Karakterlap!$F$12-IF(BK48&gt;18,BK48,18))&gt;0,Karakterlap!$F$12-IF(BK48&gt;18,BK48,18),0),0)</f>
        <v>#VALUE!</v>
      </c>
    </row>
    <row r="49" spans="12:65" x14ac:dyDescent="0.25">
      <c r="L49" t="s">
        <v>89</v>
      </c>
      <c r="M49">
        <v>0</v>
      </c>
      <c r="N49">
        <v>161</v>
      </c>
      <c r="O49">
        <v>331</v>
      </c>
      <c r="P49">
        <v>661</v>
      </c>
      <c r="Q49">
        <v>1301</v>
      </c>
      <c r="R49">
        <v>2601</v>
      </c>
      <c r="S49">
        <v>5001</v>
      </c>
      <c r="T49">
        <v>9001</v>
      </c>
      <c r="U49">
        <v>23001</v>
      </c>
      <c r="V49">
        <v>50001</v>
      </c>
      <c r="W49">
        <v>90001</v>
      </c>
      <c r="X49">
        <v>130001</v>
      </c>
      <c r="Y49">
        <f>IFERROR(IF(VLOOKUP(L49,Karakterlap!$P$3:$Z$4,10,FALSE)&gt;13,165001+((VLOOKUP(L49,Karakterlap!$P$3:$Z$4,10,FALSE)-13)*50000),165001),165001)</f>
        <v>165001</v>
      </c>
      <c r="Z49">
        <v>5</v>
      </c>
      <c r="AA49">
        <v>17</v>
      </c>
      <c r="AB49">
        <v>72</v>
      </c>
      <c r="AC49">
        <v>0</v>
      </c>
      <c r="AD49">
        <f>IFERROR(VLOOKUP(L49,Karakterlap!$P$3:$Z$4,10,FALSE)*8,8)</f>
        <v>8</v>
      </c>
      <c r="AE49">
        <f>IFERROR(IF(Karakterlap!$P$5="Váltott kaszt",IF(Karakterlap!$P$3=Adattábla!$L49,Karakterlap!$Y$3*3,IF(Karakterlap!$P$4=Adattábla!$L49,(Karakterlap!$Y$4-Adattábla!$I$20)*3,3)),VLOOKUP(Adattábla!$L49,Karakterlap!$P$3:$Z$4,10,FALSE)*3),3)</f>
        <v>3</v>
      </c>
      <c r="AF49">
        <f>IFERROR(IF(Karakterlap!$P$5="Váltott kaszt",IF(Karakterlap!$P$3=Adattábla!$L49,Karakterlap!$Y$3*3,IF(Karakterlap!$P$4=Adattábla!$L49,(Karakterlap!$Y$4-Adattábla!$I$20)*3,3)),VLOOKUP(Adattábla!$L49,Karakterlap!$P$3:$Z$4,10,FALSE)*3),3)</f>
        <v>3</v>
      </c>
      <c r="AG49">
        <v>6</v>
      </c>
      <c r="AH49">
        <f>IF(Karakterlap!$P$5="Iker kaszt",IF(Karakterlap!$P$3=L49,IFERROR((Karakterlap!$P$6*10)+(VLOOKUP(L49,Karakterlap!$P$3:$Z$4,10,FALSE)-Karakterlap!$P$6),10),IF(Karakterlap!$P$4=L49,VLOOKUP(L49,Karakterlap!$P$3:$Z$4,10,FALSE),10)),IF(Karakterlap!$P$5="Váltott kaszt",IF(L49=Karakterlap!$P$3,(Karakterlap!$Y$3+3)*10,VLOOKUP(L49,Karakterlap!$P$3:$Z$4,10,FALSE)*10),IFERROR(VLOOKUP(L49,Karakterlap!$P$3:$Z$4,10,FALSE)*10,10)))</f>
        <v>10</v>
      </c>
      <c r="AI49">
        <v>0</v>
      </c>
      <c r="AJ49">
        <v>6</v>
      </c>
      <c r="AK49">
        <v>6</v>
      </c>
      <c r="AL49">
        <f>IFERROR(VLOOKUP(L49,Karakterlap!$P$3:$Z$4,10,FALSE)*($E$18+2),$E$18+2)</f>
        <v>8</v>
      </c>
      <c r="AM49">
        <f>IFERROR(IF(VLOOKUP(L49,Karakterlap!$P$3:$Z$4,10,FALSE)&gt;1,9+((VLOOKUP(L49,Karakterlap!$P$3:$Z$4,10,FALSE)-1)*(($E$18)+3)),9),9)</f>
        <v>9</v>
      </c>
      <c r="AN49" t="s">
        <v>109</v>
      </c>
      <c r="AO49" t="str">
        <f>IFERROR((IF(Karakterlap!$F$9&gt;10,Karakterlap!$F$9-10,0))+5+((VLOOKUP(L49,Karakterlap!$P$3:$Z$4,10,FALSE)-1)*4),"más kaszt")</f>
        <v>más kaszt</v>
      </c>
      <c r="BA49">
        <f>IFERROR(IF(Karakterlap!$P$6&gt;13,165001+((Karakterlap!$P$6-13)*50000),165001),165001)</f>
        <v>165001</v>
      </c>
      <c r="BB49" s="40">
        <f>VLOOKUP("2k6+6",$I$2:$J$11,2,FALSE)+IFERROR(VLOOKUP(Karakterlap!$V$7,$A$24:$C$33,3,FALSE),0)</f>
        <v>13</v>
      </c>
      <c r="BC49" s="40">
        <f>VLOOKUP("2k6+6",$I$2:$J$11,2,FALSE)+IFERROR(VLOOKUP(Karakterlap!$V$7,$A$24:$D$33,4,FALSE),0)</f>
        <v>13</v>
      </c>
      <c r="BD49" s="40">
        <f>VLOOKUP("3k6(2x)",$I$2:$J$11,2,FALSE)+IFERROR(VLOOKUP(Karakterlap!$V$7,$A$24:$E$33,5,FALSE),0)</f>
        <v>11</v>
      </c>
      <c r="BE49" s="40">
        <f>VLOOKUP("3k6(2x)",$I$2:$J$11,2,FALSE)+IFERROR(VLOOKUP(Karakterlap!$V$7,$A$24:$F$33,6,FALSE),0)</f>
        <v>11</v>
      </c>
      <c r="BF49" s="40">
        <f>VLOOKUP("k10+8",$I$2:$J$11,2,FALSE)+IFERROR(VLOOKUP(Karakterlap!$V$7,$A$24:$G$33,7,FALSE),0)</f>
        <v>14</v>
      </c>
      <c r="BG49" s="40">
        <f>VLOOKUP("k10+10",$I$2:$J$11,2,FALSE)+IFERROR(VLOOKUP(Karakterlap!$V$7,$A$24:$H$33,8,FALSE),0)</f>
        <v>16</v>
      </c>
      <c r="BH49" s="40">
        <f>VLOOKUP("k10+8",$I$2:$J$11,2,FALSE)+IFERROR(VLOOKUP(Karakterlap!$V$7,$A$24:$I$33,9,FALSE),0)</f>
        <v>14</v>
      </c>
      <c r="BI49" s="40">
        <f t="shared" si="2"/>
        <v>14</v>
      </c>
      <c r="BJ49" s="40">
        <f>VLOOKUP("k6+12",$I$2:$J$11,2,FALSE)+IFERROR(VLOOKUP(Karakterlap!$V$7,$A$24:$J$33,10,FALSE),0)</f>
        <v>16</v>
      </c>
      <c r="BK49" s="40">
        <f t="shared" si="3"/>
        <v>14</v>
      </c>
      <c r="BL49" s="40">
        <f>IF((SUM(Karakterlap!$F$3:$F$12)-SUM(BB49:BK49))&lt;0,0,SUM(Karakterlap!$F$3:$F$12)-SUM(BB49:BK49))</f>
        <v>0</v>
      </c>
      <c r="BM49" t="e">
        <f>IF(Karakterlap!$F$3&gt;18,IF((Karakterlap!$F$3-IF(BB49&gt;18,BB49,18))&gt;0,Karakterlap!$F$3-IF(BB49&gt;18,BB49,18),0),0)+IF(Karakterlap!$F$4&gt;18,IF((Karakterlap!$F$4-IF(BC49&gt;18,BC49,18))&gt;0,Karakterlap!$F$4-IF(BC49&gt;18,BC49,18),0),0)+IF(Karakterlap!$F$5&gt;18,IF((Karakterlap!$F$5-IF(BD49&gt;18,BD49,18))&gt;0,Karakterlap!$F$5-IF(BD49&gt;18,BD49,18),0),0)+IF(Karakterlap!$F$6&gt;18,IF((Karakterlap!$F$6-IF(BE49&gt;18,BE49,18))&gt;0,Karakterlap!$F$6-IF(BE49&gt;18,BE49,18),0),0)+IF(Karakterlap!$F$7&gt;18,IF((Karakterlap!$F$7-IF(BF49&gt;18,BF49,18))&gt;0,Karakterlap!$F$7-IF(BF49&gt;18,BF49,18),0),0)+IF(Karakterlap!$F$8&gt;18,IF((Karakterlap!$F$8-IF(BG49&gt;18,BG49,18))&gt;0,Karakterlap!$F$8-IF(BG49&gt;18,BG49,18),0),0)+IF(Karakterlap!$F$9&gt;18,IF((Karakterlap!$F$9-IF(BH49&gt;18,BH49,18))&gt;0,Karakterlap!$F$9-IF(BH49&gt;18,BH49,18),0),0)+IF(Karakterlap!$F$10&gt;18,IF((Karakterlap!$F$10-IF(BI49&gt;18,BI49,18))&gt;0,Karakterlap!$F$10-IF(BI49&gt;18,BI49,18),0),0)+IF(Karakterlap!$F$11&gt;18,IF((Karakterlap!$F$11-IF(BJ49&gt;18,BJ49,18))&gt;0,Karakterlap!$F$11-IF(BJ49&gt;18,BJ49,18),0),0)+IF(Karakterlap!$F$12&gt;18,IF((Karakterlap!$F$12-IF(BK49&gt;18,BK49,18))&gt;0,Karakterlap!$F$12-IF(BK49&gt;18,BK49,18),0),0)</f>
        <v>#VALUE!</v>
      </c>
    </row>
    <row r="50" spans="12:65" x14ac:dyDescent="0.25">
      <c r="L50" t="s">
        <v>273</v>
      </c>
      <c r="M50">
        <v>0</v>
      </c>
      <c r="N50">
        <v>161</v>
      </c>
      <c r="O50">
        <v>331</v>
      </c>
      <c r="P50">
        <v>661</v>
      </c>
      <c r="Q50">
        <v>1301</v>
      </c>
      <c r="R50">
        <v>2601</v>
      </c>
      <c r="S50">
        <v>5001</v>
      </c>
      <c r="T50">
        <v>9001</v>
      </c>
      <c r="U50">
        <v>23001</v>
      </c>
      <c r="V50">
        <v>50001</v>
      </c>
      <c r="W50">
        <v>90001</v>
      </c>
      <c r="X50">
        <v>130001</v>
      </c>
      <c r="Y50">
        <f>IFERROR(IF(VLOOKUP(L50,Karakterlap!$P$3:$Z$4,10,FALSE)&gt;13,165001+((VLOOKUP(L50,Karakterlap!$P$3:$Z$4,10,FALSE)-13)*50000),165001),165001)</f>
        <v>165001</v>
      </c>
      <c r="Z50">
        <v>9</v>
      </c>
      <c r="AA50">
        <v>18</v>
      </c>
      <c r="AB50">
        <v>73</v>
      </c>
      <c r="AC50" t="e">
        <f>Karakterlap!$F$6+5</f>
        <v>#VALUE!</v>
      </c>
      <c r="AD50">
        <f>IFERROR(VLOOKUP(L50,Karakterlap!$P$3:$Z$4,10,FALSE)*9,9)</f>
        <v>9</v>
      </c>
      <c r="AE50">
        <f>IFERROR(IF(Karakterlap!$P$5="Váltott kaszt",IF(Karakterlap!$P$3=Adattábla!$L50,Karakterlap!$Y$3*4,IF(Karakterlap!$P$4=Adattábla!$L50,(Karakterlap!$Y$4-Adattábla!$I$20)*4,4)),VLOOKUP(Adattábla!$L50,Karakterlap!$P$3:$Z$4,10,FALSE)*4),4)</f>
        <v>4</v>
      </c>
      <c r="AF50">
        <v>0</v>
      </c>
      <c r="AG50">
        <v>6</v>
      </c>
      <c r="AH50">
        <f>IF(Karakterlap!$P$5="Iker kaszt",IF(Karakterlap!$P$3=L50,IFERROR((Karakterlap!$P$6*10)+(VLOOKUP(L50,Karakterlap!$P$3:$Z$4,10,FALSE)-Karakterlap!$P$6),10),IF(Karakterlap!$P$4=L50,VLOOKUP(L50,Karakterlap!$P$3:$Z$4,10,FALSE),10)),IF(Karakterlap!$P$5="Váltott kaszt",IF(L50=Karakterlap!$P$3,(Karakterlap!$Y$3+3)*10,VLOOKUP(L50,Karakterlap!$P$3:$Z$4,10,FALSE)*10),IFERROR(VLOOKUP(L50,Karakterlap!$P$3:$Z$4,10,FALSE)*10,10)))</f>
        <v>10</v>
      </c>
      <c r="AI50">
        <v>0</v>
      </c>
      <c r="AJ50">
        <v>6</v>
      </c>
      <c r="AK50">
        <v>6</v>
      </c>
      <c r="AL50" s="10">
        <f>IFERROR(VLOOKUP(L50,Karakterlap!$P$3:$Z$4,10,FALSE)*($E$18+2),$E$18+2)</f>
        <v>8</v>
      </c>
      <c r="AM50" s="10">
        <f>IFERROR(IF(VLOOKUP(L50,Karakterlap!$P$3:$Z$4,10,FALSE)&gt;1,9+((VLOOKUP(L50,Karakterlap!$P$3:$Z$4,10,FALSE)-1)*(($E$18)+3)),9),9)</f>
        <v>9</v>
      </c>
      <c r="AN50" t="s">
        <v>108</v>
      </c>
      <c r="AO50" t="str">
        <f>IFERROR((IF(Karakterlap!$F$9&gt;10,Karakterlap!$F$9-10,0))+4+((VLOOKUP(L50,Karakterlap!$P$3:$Z$4,10,FALSE)-1)*3),"más kaszt")</f>
        <v>más kaszt</v>
      </c>
      <c r="AR50" s="17" t="str">
        <f>IFERROR(IF(VLOOKUP(L50,Karakterlap!$P$3:$Z$4,10,FALSE)&lt;3,"",30),"")</f>
        <v/>
      </c>
      <c r="BA50">
        <f>IFERROR(IF(Karakterlap!$P$6&gt;13,165001+((Karakterlap!$P$6-13)*50000),165001),165001)</f>
        <v>165001</v>
      </c>
      <c r="BB50" s="40">
        <f>VLOOKUP("2k6+6",$I$2:$J$11,2,FALSE)+IFERROR(VLOOKUP(Karakterlap!$V$7,$A$24:$C$33,3,FALSE),0)</f>
        <v>13</v>
      </c>
      <c r="BC50" s="40">
        <f>VLOOKUP("2k6+6",$I$2:$J$11,2,FALSE)+IFERROR(VLOOKUP(Karakterlap!$V$7,$A$24:$D$33,4,FALSE),0)</f>
        <v>13</v>
      </c>
      <c r="BD50" s="40">
        <f>VLOOKUP("k6+14",$I$2:$J$11,2,FALSE)+IFERROR(VLOOKUP(Karakterlap!$V$7,$A$24:$E$33,5,FALSE),0)</f>
        <v>18</v>
      </c>
      <c r="BE50" s="40">
        <f>VLOOKUP("3k6(2x)",$I$2:$J$11,2,FALSE)+IFERROR(VLOOKUP(Karakterlap!$V$7,$A$24:$F$33,6,FALSE),0)</f>
        <v>11</v>
      </c>
      <c r="BF50" s="40">
        <f>VLOOKUP("k10+8",$I$2:$J$11,2,FALSE)+IFERROR(VLOOKUP(Karakterlap!$V$7,$A$24:$G$33,7,FALSE),0)</f>
        <v>14</v>
      </c>
      <c r="BG50" s="40">
        <f>VLOOKUP("k10+10",$I$2:$J$11,2,FALSE)+IFERROR(VLOOKUP(Karakterlap!$V$7,$A$24:$H$33,8,FALSE),0)</f>
        <v>16</v>
      </c>
      <c r="BH50" s="40">
        <f>VLOOKUP("k10+8",$I$2:$J$11,2,FALSE)+IFERROR(VLOOKUP(Karakterlap!$V$7,$A$24:$I$33,9,FALSE),0)</f>
        <v>14</v>
      </c>
      <c r="BI50" s="40">
        <f t="shared" si="2"/>
        <v>14</v>
      </c>
      <c r="BJ50" s="40">
        <f>VLOOKUP("k6+12",$I$2:$J$11,2,FALSE)+IFERROR(VLOOKUP(Karakterlap!$V$7,$A$24:$J$33,10,FALSE),0)</f>
        <v>16</v>
      </c>
      <c r="BK50" s="40">
        <f t="shared" si="3"/>
        <v>14</v>
      </c>
      <c r="BL50" s="40">
        <f>IF((SUM(Karakterlap!$F$3:$F$12)-SUM(BB50:BK50))&lt;0,0,SUM(Karakterlap!$F$3:$F$12)-SUM(BB50:BK50))</f>
        <v>0</v>
      </c>
      <c r="BM50" t="e">
        <f>IF(Karakterlap!$F$3&gt;18,IF((Karakterlap!$F$3-IF(BB50&gt;18,BB50,18))&gt;0,Karakterlap!$F$3-IF(BB50&gt;18,BB50,18),0),0)+IF(Karakterlap!$F$4&gt;18,IF((Karakterlap!$F$4-IF(BC50&gt;18,BC50,18))&gt;0,Karakterlap!$F$4-IF(BC50&gt;18,BC50,18),0),0)+IF(Karakterlap!$F$5&gt;18,IF((Karakterlap!$F$5-IF(BD50&gt;18,BD50,18))&gt;0,Karakterlap!$F$5-IF(BD50&gt;18,BD50,18),0),0)+IF(Karakterlap!$F$6&gt;18,IF((Karakterlap!$F$6-IF(BE50&gt;18,BE50,18))&gt;0,Karakterlap!$F$6-IF(BE50&gt;18,BE50,18),0),0)+IF(Karakterlap!$F$7&gt;18,IF((Karakterlap!$F$7-IF(BF50&gt;18,BF50,18))&gt;0,Karakterlap!$F$7-IF(BF50&gt;18,BF50,18),0),0)+IF(Karakterlap!$F$8&gt;18,IF((Karakterlap!$F$8-IF(BG50&gt;18,BG50,18))&gt;0,Karakterlap!$F$8-IF(BG50&gt;18,BG50,18),0),0)+IF(Karakterlap!$F$9&gt;18,IF((Karakterlap!$F$9-IF(BH50&gt;18,BH50,18))&gt;0,Karakterlap!$F$9-IF(BH50&gt;18,BH50,18),0),0)+IF(Karakterlap!$F$10&gt;18,IF((Karakterlap!$F$10-IF(BI50&gt;18,BI50,18))&gt;0,Karakterlap!$F$10-IF(BI50&gt;18,BI50,18),0),0)+IF(Karakterlap!$F$11&gt;18,IF((Karakterlap!$F$11-IF(BJ50&gt;18,BJ50,18))&gt;0,Karakterlap!$F$11-IF(BJ50&gt;18,BJ50,18),0),0)+IF(Karakterlap!$F$12&gt;18,IF((Karakterlap!$F$12-IF(BK50&gt;18,BK50,18))&gt;0,Karakterlap!$F$12-IF(BK50&gt;18,BK50,18),0),0)</f>
        <v>#VALUE!</v>
      </c>
    </row>
    <row r="51" spans="12:65" x14ac:dyDescent="0.25">
      <c r="L51" t="s">
        <v>274</v>
      </c>
      <c r="M51">
        <v>0</v>
      </c>
      <c r="N51">
        <v>161</v>
      </c>
      <c r="O51">
        <v>331</v>
      </c>
      <c r="P51">
        <v>661</v>
      </c>
      <c r="Q51">
        <v>1301</v>
      </c>
      <c r="R51">
        <v>2601</v>
      </c>
      <c r="S51">
        <v>5001</v>
      </c>
      <c r="T51">
        <v>9001</v>
      </c>
      <c r="U51">
        <v>23001</v>
      </c>
      <c r="V51">
        <v>50001</v>
      </c>
      <c r="W51">
        <v>90001</v>
      </c>
      <c r="X51">
        <v>130001</v>
      </c>
      <c r="Y51">
        <f>IFERROR(IF(VLOOKUP(L51,Karakterlap!$P$3:$Z$4,10,FALSE)&gt;13,165001+((VLOOKUP(L51,Karakterlap!$P$3:$Z$4,10,FALSE)-13)*50000),165001),165001)</f>
        <v>165001</v>
      </c>
      <c r="Z51">
        <v>9</v>
      </c>
      <c r="AA51">
        <v>18</v>
      </c>
      <c r="AB51">
        <v>73</v>
      </c>
      <c r="AC51" t="e">
        <f>Karakterlap!$F$6+5</f>
        <v>#VALUE!</v>
      </c>
      <c r="AD51">
        <f>IFERROR(VLOOKUP(L51,Karakterlap!$P$3:$Z$4,10,FALSE)*9,9)</f>
        <v>9</v>
      </c>
      <c r="AE51">
        <f>IFERROR(IF(Karakterlap!$P$5="Váltott kaszt",IF(Karakterlap!$P$3=Adattábla!$L51,Karakterlap!$Y$3*4,IF(Karakterlap!$P$4=Adattábla!$L51,(Karakterlap!$Y$4-Adattábla!$I$20)*4,4)),VLOOKUP(Adattábla!$L51,Karakterlap!$P$3:$Z$4,10,FALSE)*4),4)</f>
        <v>4</v>
      </c>
      <c r="AF51">
        <v>0</v>
      </c>
      <c r="AG51">
        <v>6</v>
      </c>
      <c r="AH51">
        <f>IF(Karakterlap!$P$5="Iker kaszt",IF(Karakterlap!$P$3=L51,IFERROR((Karakterlap!$P$6*10)+(VLOOKUP(L51,Karakterlap!$P$3:$Z$4,10,FALSE)-Karakterlap!$P$6),10),IF(Karakterlap!$P$4=L51,VLOOKUP(L51,Karakterlap!$P$3:$Z$4,10,FALSE),10)),IF(Karakterlap!$P$5="Váltott kaszt",IF(L51=Karakterlap!$P$3,(Karakterlap!$Y$3+3)*10,VLOOKUP(L51,Karakterlap!$P$3:$Z$4,10,FALSE)*10),IFERROR(VLOOKUP(L51,Karakterlap!$P$3:$Z$4,10,FALSE)*10,10)))</f>
        <v>10</v>
      </c>
      <c r="AI51">
        <v>0</v>
      </c>
      <c r="AJ51">
        <v>6</v>
      </c>
      <c r="AK51">
        <v>6</v>
      </c>
      <c r="AL51" s="10">
        <f>IFERROR(VLOOKUP(L51,Karakterlap!$P$3:$Z$4,10,FALSE)*($E$18+2),$E$18+2)</f>
        <v>8</v>
      </c>
      <c r="AM51" s="10">
        <f>IFERROR(IF(VLOOKUP(L51,Karakterlap!$P$3:$Z$4,10,FALSE)&gt;1,9+((VLOOKUP(L51,Karakterlap!$P$3:$Z$4,10,FALSE)-1)*(($E$18)+3)),9),9)</f>
        <v>9</v>
      </c>
      <c r="AN51" t="s">
        <v>108</v>
      </c>
      <c r="AO51" t="str">
        <f>IFERROR((IF(Karakterlap!$F$9&gt;10,Karakterlap!$F$9-10,0))+4+((VLOOKUP(L51,Karakterlap!$P$3:$Z$4,10,FALSE)-1)*3),"más kaszt")</f>
        <v>más kaszt</v>
      </c>
      <c r="AR51" s="17" t="str">
        <f>IFERROR(IF(VLOOKUP(L51,Karakterlap!$P$3:$Z$4,10,FALSE)&lt;3,"",30),"")</f>
        <v/>
      </c>
      <c r="BA51">
        <f>IFERROR(IF(Karakterlap!$P$6&gt;13,165001+((Karakterlap!$P$6-13)*50000),165001),165001)</f>
        <v>165001</v>
      </c>
      <c r="BB51" s="40">
        <f>VLOOKUP("2k6+6",$I$2:$J$11,2,FALSE)+IFERROR(VLOOKUP(Karakterlap!$V$7,$A$24:$C$33,3,FALSE),0)</f>
        <v>13</v>
      </c>
      <c r="BC51" s="40">
        <f>VLOOKUP("2k6+6",$I$2:$J$11,2,FALSE)+IFERROR(VLOOKUP(Karakterlap!$V$7,$A$24:$D$33,4,FALSE),0)</f>
        <v>13</v>
      </c>
      <c r="BD51" s="40">
        <f>VLOOKUP("3k6(2x)",$I$2:$J$11,2,FALSE)+IFERROR(VLOOKUP(Karakterlap!$V$7,$A$24:$E$33,5,FALSE),0)</f>
        <v>11</v>
      </c>
      <c r="BE51" s="40">
        <f>VLOOKUP("3k6(2x)",$I$2:$J$11,2,FALSE)+IFERROR(VLOOKUP(Karakterlap!$V$7,$A$24:$F$33,6,FALSE),0)</f>
        <v>11</v>
      </c>
      <c r="BF51" s="40">
        <f>VLOOKUP("k10+8",$I$2:$J$11,2,FALSE)+IFERROR(VLOOKUP(Karakterlap!$V$7,$A$24:$G$33,7,FALSE),0)</f>
        <v>14</v>
      </c>
      <c r="BG51" s="40">
        <f>VLOOKUP("k10+10",$I$2:$J$11,2,FALSE)+IFERROR(VLOOKUP(Karakterlap!$V$7,$A$24:$H$33,8,FALSE),0)</f>
        <v>16</v>
      </c>
      <c r="BH51" s="40">
        <f>VLOOKUP("k10+8",$I$2:$J$11,2,FALSE)+IFERROR(VLOOKUP(Karakterlap!$V$7,$A$24:$I$33,9,FALSE),0)</f>
        <v>14</v>
      </c>
      <c r="BI51" s="40">
        <f>VLOOKUP("k6+14",$I$2:$J$11,2,FALSE)</f>
        <v>18</v>
      </c>
      <c r="BJ51" s="40">
        <f>VLOOKUP("k6+12",$I$2:$J$11,2,FALSE)+IFERROR(VLOOKUP(Karakterlap!$V$7,$A$24:$J$33,10,FALSE),0)</f>
        <v>16</v>
      </c>
      <c r="BK51" s="40">
        <f t="shared" si="3"/>
        <v>14</v>
      </c>
      <c r="BL51" s="40">
        <f>IF((SUM(Karakterlap!$F$3:$F$12)-SUM(BB51:BK51))&lt;0,0,SUM(Karakterlap!$F$3:$F$12)-SUM(BB51:BK51))</f>
        <v>0</v>
      </c>
      <c r="BM51" t="e">
        <f>IF(Karakterlap!$F$3&gt;18,IF((Karakterlap!$F$3-IF(BB51&gt;18,BB51,18))&gt;0,Karakterlap!$F$3-IF(BB51&gt;18,BB51,18),0),0)+IF(Karakterlap!$F$4&gt;18,IF((Karakterlap!$F$4-IF(BC51&gt;18,BC51,18))&gt;0,Karakterlap!$F$4-IF(BC51&gt;18,BC51,18),0),0)+IF(Karakterlap!$F$5&gt;18,IF((Karakterlap!$F$5-IF(BD51&gt;18,BD51,18))&gt;0,Karakterlap!$F$5-IF(BD51&gt;18,BD51,18),0),0)+IF(Karakterlap!$F$6&gt;18,IF((Karakterlap!$F$6-IF(BE51&gt;18,BE51,18))&gt;0,Karakterlap!$F$6-IF(BE51&gt;18,BE51,18),0),0)+IF(Karakterlap!$F$7&gt;18,IF((Karakterlap!$F$7-IF(BF51&gt;18,BF51,18))&gt;0,Karakterlap!$F$7-IF(BF51&gt;18,BF51,18),0),0)+IF(Karakterlap!$F$8&gt;18,IF((Karakterlap!$F$8-IF(BG51&gt;18,BG51,18))&gt;0,Karakterlap!$F$8-IF(BG51&gt;18,BG51,18),0),0)+IF(Karakterlap!$F$9&gt;18,IF((Karakterlap!$F$9-IF(BH51&gt;18,BH51,18))&gt;0,Karakterlap!$F$9-IF(BH51&gt;18,BH51,18),0),0)+IF(Karakterlap!$F$10&gt;18,IF((Karakterlap!$F$10-IF(BI51&gt;18,BI51,18))&gt;0,Karakterlap!$F$10-IF(BI51&gt;18,BI51,18),0),0)+IF(Karakterlap!$F$11&gt;18,IF((Karakterlap!$F$11-IF(BJ51&gt;18,BJ51,18))&gt;0,Karakterlap!$F$11-IF(BJ51&gt;18,BJ51,18),0),0)+IF(Karakterlap!$F$12&gt;18,IF((Karakterlap!$F$12-IF(BK51&gt;18,BK51,18))&gt;0,Karakterlap!$F$12-IF(BK51&gt;18,BK51,18),0),0)</f>
        <v>#VALUE!</v>
      </c>
    </row>
    <row r="52" spans="12:65" x14ac:dyDescent="0.25">
      <c r="L52" t="s">
        <v>275</v>
      </c>
      <c r="M52">
        <v>0</v>
      </c>
      <c r="N52">
        <v>161</v>
      </c>
      <c r="O52">
        <v>331</v>
      </c>
      <c r="P52">
        <v>661</v>
      </c>
      <c r="Q52">
        <v>1301</v>
      </c>
      <c r="R52">
        <v>2601</v>
      </c>
      <c r="S52">
        <v>5001</v>
      </c>
      <c r="T52">
        <v>9001</v>
      </c>
      <c r="U52">
        <v>23001</v>
      </c>
      <c r="V52">
        <v>50001</v>
      </c>
      <c r="W52">
        <v>90001</v>
      </c>
      <c r="X52">
        <v>130001</v>
      </c>
      <c r="Y52">
        <f>IFERROR(IF(VLOOKUP(L52,Karakterlap!$P$3:$Z$4,10,FALSE)&gt;13,165001+((VLOOKUP(L52,Karakterlap!$P$3:$Z$4,10,FALSE)-13)*50000),165001),165001)</f>
        <v>165001</v>
      </c>
      <c r="Z52">
        <v>9</v>
      </c>
      <c r="AA52">
        <v>18</v>
      </c>
      <c r="AB52">
        <v>73</v>
      </c>
      <c r="AC52" t="e">
        <f>Karakterlap!$F$6+5</f>
        <v>#VALUE!</v>
      </c>
      <c r="AD52">
        <f>IFERROR(VLOOKUP(L52,Karakterlap!$P$3:$Z$4,10,FALSE)*9,9)</f>
        <v>9</v>
      </c>
      <c r="AE52">
        <f>IFERROR(IF(Karakterlap!$P$5="Váltott kaszt",IF(Karakterlap!$P$3=Adattábla!$L52,Karakterlap!$Y$3*4,IF(Karakterlap!$P$4=Adattábla!$L52,(Karakterlap!$Y$4-Adattábla!$I$20)*4,4)),VLOOKUP(Adattábla!$L52,Karakterlap!$P$3:$Z$4,10,FALSE)*4),4)</f>
        <v>4</v>
      </c>
      <c r="AF52">
        <v>0</v>
      </c>
      <c r="AG52">
        <v>6</v>
      </c>
      <c r="AH52">
        <f>IF(Karakterlap!$P$5="Iker kaszt",IF(Karakterlap!$P$3=L52,IFERROR((Karakterlap!$P$6*10)+(VLOOKUP(L52,Karakterlap!$P$3:$Z$4,10,FALSE)-Karakterlap!$P$6),10),IF(Karakterlap!$P$4=L52,VLOOKUP(L52,Karakterlap!$P$3:$Z$4,10,FALSE),10)),IF(Karakterlap!$P$5="Váltott kaszt",IF(L52=Karakterlap!$P$3,(Karakterlap!$Y$3+3)*10,VLOOKUP(L52,Karakterlap!$P$3:$Z$4,10,FALSE)*10),IFERROR(VLOOKUP(L52,Karakterlap!$P$3:$Z$4,10,FALSE)*10,10)))</f>
        <v>10</v>
      </c>
      <c r="AI52">
        <v>0</v>
      </c>
      <c r="AJ52">
        <v>6</v>
      </c>
      <c r="AK52">
        <v>6</v>
      </c>
      <c r="AL52" s="10">
        <f>IFERROR(VLOOKUP(L52,Karakterlap!$P$3:$Z$4,10,FALSE)*($E$18+2),$E$18+2)</f>
        <v>8</v>
      </c>
      <c r="AM52" s="10">
        <f>IFERROR(IF(VLOOKUP(L52,Karakterlap!$P$3:$Z$4,10,FALSE)&gt;1,9+((VLOOKUP(L52,Karakterlap!$P$3:$Z$4,10,FALSE)-1)*(($E$18)+3)),9),9)</f>
        <v>9</v>
      </c>
      <c r="AN52" t="s">
        <v>108</v>
      </c>
      <c r="AO52" t="str">
        <f>IFERROR((IF(Karakterlap!$F$9&gt;10,Karakterlap!$F$9-10,0))+4+((VLOOKUP(L52,Karakterlap!$P$3:$Z$4,10,FALSE)-1)*3),"más kaszt")</f>
        <v>más kaszt</v>
      </c>
      <c r="AR52" s="17" t="str">
        <f>IFERROR(IF(VLOOKUP(L52,Karakterlap!$P$3:$Z$4,10,FALSE)&lt;3,"",30),"")</f>
        <v/>
      </c>
      <c r="BA52">
        <f>IFERROR(IF(Karakterlap!$P$6&gt;13,165001+((Karakterlap!$P$6-13)*50000),165001),165001)</f>
        <v>165001</v>
      </c>
      <c r="BB52" s="40">
        <f>VLOOKUP("2k6+6",$I$2:$J$11,2,FALSE)+IFERROR(VLOOKUP(Karakterlap!$V$7,$A$24:$C$33,3,FALSE),0)</f>
        <v>13</v>
      </c>
      <c r="BC52" s="40">
        <f>VLOOKUP("2k6+6",$I$2:$J$11,2,FALSE)+IFERROR(VLOOKUP(Karakterlap!$V$7,$A$24:$D$33,4,FALSE),0)</f>
        <v>13</v>
      </c>
      <c r="BD52" s="40">
        <f>VLOOKUP("3k6(2x)",$I$2:$J$11,2,FALSE)+IFERROR(VLOOKUP(Karakterlap!$V$7,$A$24:$E$33,5,FALSE),0)</f>
        <v>11</v>
      </c>
      <c r="BE52" s="40">
        <f>VLOOKUP("k6+14",$I$2:$J$11,2,FALSE)+IFERROR(VLOOKUP(Karakterlap!$V$7,$A$24:$F$33,6,FALSE),0)</f>
        <v>18</v>
      </c>
      <c r="BF52" s="40">
        <f>VLOOKUP("k10+8",$I$2:$J$11,2,FALSE)+IFERROR(VLOOKUP(Karakterlap!$V$7,$A$24:$G$33,7,FALSE),0)</f>
        <v>14</v>
      </c>
      <c r="BG52" s="40">
        <f>VLOOKUP("k10+10",$I$2:$J$11,2,FALSE)+IFERROR(VLOOKUP(Karakterlap!$V$7,$A$24:$H$33,8,FALSE),0)</f>
        <v>16</v>
      </c>
      <c r="BH52" s="40">
        <f>VLOOKUP("k10+8",$I$2:$J$11,2,FALSE)+IFERROR(VLOOKUP(Karakterlap!$V$7,$A$24:$I$33,9,FALSE),0)</f>
        <v>14</v>
      </c>
      <c r="BI52" s="40">
        <f t="shared" si="2"/>
        <v>14</v>
      </c>
      <c r="BJ52" s="40">
        <f>VLOOKUP("k6+12",$I$2:$J$11,2,FALSE)+IFERROR(VLOOKUP(Karakterlap!$V$7,$A$24:$J$33,10,FALSE),0)</f>
        <v>16</v>
      </c>
      <c r="BK52" s="40">
        <f t="shared" si="3"/>
        <v>14</v>
      </c>
      <c r="BL52" s="40">
        <f>IF((SUM(Karakterlap!$F$3:$F$12)-SUM(BB52:BK52))&lt;0,0,SUM(Karakterlap!$F$3:$F$12)-SUM(BB52:BK52))</f>
        <v>0</v>
      </c>
      <c r="BM52" t="e">
        <f>IF(Karakterlap!$F$3&gt;18,IF((Karakterlap!$F$3-IF(BB52&gt;18,BB52,18))&gt;0,Karakterlap!$F$3-IF(BB52&gt;18,BB52,18),0),0)+IF(Karakterlap!$F$4&gt;18,IF((Karakterlap!$F$4-IF(BC52&gt;18,BC52,18))&gt;0,Karakterlap!$F$4-IF(BC52&gt;18,BC52,18),0),0)+IF(Karakterlap!$F$5&gt;18,IF((Karakterlap!$F$5-IF(BD52&gt;18,BD52,18))&gt;0,Karakterlap!$F$5-IF(BD52&gt;18,BD52,18),0),0)+IF(Karakterlap!$F$6&gt;18,IF((Karakterlap!$F$6-IF(BE52&gt;18,BE52,18))&gt;0,Karakterlap!$F$6-IF(BE52&gt;18,BE52,18),0),0)+IF(Karakterlap!$F$7&gt;18,IF((Karakterlap!$F$7-IF(BF52&gt;18,BF52,18))&gt;0,Karakterlap!$F$7-IF(BF52&gt;18,BF52,18),0),0)+IF(Karakterlap!$F$8&gt;18,IF((Karakterlap!$F$8-IF(BG52&gt;18,BG52,18))&gt;0,Karakterlap!$F$8-IF(BG52&gt;18,BG52,18),0),0)+IF(Karakterlap!$F$9&gt;18,IF((Karakterlap!$F$9-IF(BH52&gt;18,BH52,18))&gt;0,Karakterlap!$F$9-IF(BH52&gt;18,BH52,18),0),0)+IF(Karakterlap!$F$10&gt;18,IF((Karakterlap!$F$10-IF(BI52&gt;18,BI52,18))&gt;0,Karakterlap!$F$10-IF(BI52&gt;18,BI52,18),0),0)+IF(Karakterlap!$F$11&gt;18,IF((Karakterlap!$F$11-IF(BJ52&gt;18,BJ52,18))&gt;0,Karakterlap!$F$11-IF(BJ52&gt;18,BJ52,18),0),0)+IF(Karakterlap!$F$12&gt;18,IF((Karakterlap!$F$12-IF(BK52&gt;18,BK52,18))&gt;0,Karakterlap!$F$12-IF(BK52&gt;18,BK52,18),0),0)</f>
        <v>#VALUE!</v>
      </c>
    </row>
    <row r="53" spans="12:65" x14ac:dyDescent="0.25">
      <c r="L53" t="s">
        <v>90</v>
      </c>
      <c r="M53" s="10">
        <v>0</v>
      </c>
      <c r="N53" s="10">
        <v>161</v>
      </c>
      <c r="O53" s="10">
        <v>331</v>
      </c>
      <c r="P53" s="10">
        <v>661</v>
      </c>
      <c r="Q53" s="10">
        <v>1301</v>
      </c>
      <c r="R53" s="10">
        <v>2601</v>
      </c>
      <c r="S53" s="10">
        <v>5001</v>
      </c>
      <c r="T53" s="10">
        <v>9001</v>
      </c>
      <c r="U53" s="10">
        <v>23001</v>
      </c>
      <c r="V53" s="10">
        <v>50001</v>
      </c>
      <c r="W53" s="10">
        <v>90001</v>
      </c>
      <c r="X53" s="10">
        <v>130001</v>
      </c>
      <c r="Y53">
        <f>IFERROR(IF(VLOOKUP(L53,Karakterlap!$P$3:$Z$4,10,FALSE)&gt;13,165001+((VLOOKUP(L53,Karakterlap!$P$3:$Z$4,10,FALSE)-13)*50000),165001),165001)</f>
        <v>165001</v>
      </c>
      <c r="Z53" s="10">
        <v>5</v>
      </c>
      <c r="AA53" s="10">
        <v>17</v>
      </c>
      <c r="AB53" s="10">
        <v>72</v>
      </c>
      <c r="AC53" s="10">
        <v>0</v>
      </c>
      <c r="AD53" s="10">
        <f>IFERROR(VLOOKUP(L53,Karakterlap!$P$3:$Z$4,10,FALSE)*8,8)</f>
        <v>8</v>
      </c>
      <c r="AE53" s="10">
        <f>IFERROR(IF(Karakterlap!$P$5="Váltott kaszt",IF(Karakterlap!$P$3=Adattábla!$L53,Karakterlap!$Y$3*3,IF(Karakterlap!$P$4=Adattábla!$L53,(Karakterlap!$Y$4-Adattábla!$I$20)*3,3)),VLOOKUP(Adattábla!$L53,Karakterlap!$P$3:$Z$4,10,FALSE)*3),3)</f>
        <v>3</v>
      </c>
      <c r="AF53" s="10">
        <f>IFERROR(IF(Karakterlap!$P$5="Váltott kaszt",IF(Karakterlap!$P$3=Adattábla!$L53,Karakterlap!$Y$3*3,IF(Karakterlap!$P$4=Adattábla!$L53,(Karakterlap!$Y$4-Adattábla!$I$20)*3,3)),VLOOKUP(Adattábla!$L53,Karakterlap!$P$3:$Z$4,10,FALSE)*3),3)</f>
        <v>3</v>
      </c>
      <c r="AG53" s="10">
        <v>6</v>
      </c>
      <c r="AH53" s="10">
        <f>IF(Karakterlap!$P$5="Iker kaszt",IF(Karakterlap!$P$3=L53,IFERROR((Karakterlap!$P$6*10)+(VLOOKUP(L53,Karakterlap!$P$3:$Z$4,10,FALSE)-Karakterlap!$P$6),10),IF(Karakterlap!$P$4=L53,VLOOKUP(L53,Karakterlap!$P$3:$Z$4,10,FALSE),10)),IF(Karakterlap!$P$5="Váltott kaszt",IF(L53=Karakterlap!$P$3,(Karakterlap!$Y$3+3)*10,VLOOKUP(L53,Karakterlap!$P$3:$Z$4,10,FALSE)*10),IFERROR(VLOOKUP(L53,Karakterlap!$P$3:$Z$4,10,FALSE)*10,10)))</f>
        <v>10</v>
      </c>
      <c r="AI53" s="10">
        <v>0</v>
      </c>
      <c r="AJ53" s="10">
        <v>6</v>
      </c>
      <c r="AK53" s="10">
        <v>6</v>
      </c>
      <c r="AL53" s="10">
        <f>IFERROR(VLOOKUP(L53,Karakterlap!$P$3:$Z$4,10,FALSE)*($E$18+2),$E$18+2)</f>
        <v>8</v>
      </c>
      <c r="AM53" s="10">
        <f>IFERROR(IF(VLOOKUP(L53,Karakterlap!$P$3:$Z$4,10,FALSE)&gt;1,9+((VLOOKUP(L53,Karakterlap!$P$3:$Z$4,10,FALSE)-1)*(($E$18)+3)),9),9)</f>
        <v>9</v>
      </c>
      <c r="AN53" t="s">
        <v>109</v>
      </c>
      <c r="AO53" t="str">
        <f>IFERROR((IF(Karakterlap!$F$9&gt;10,Karakterlap!$F$9-10,0))+5+((VLOOKUP(L53,Karakterlap!$P$3:$Z$4,10,FALSE)-1)*4),"más kaszt")</f>
        <v>más kaszt</v>
      </c>
      <c r="BA53">
        <f>IFERROR(IF(Karakterlap!$P$6&gt;13,165001+((Karakterlap!$P$6-13)*50000),165001),165001)</f>
        <v>165001</v>
      </c>
      <c r="BB53" s="40">
        <f>VLOOKUP("2k6+6",$I$2:$J$11,2,FALSE)+IFERROR(VLOOKUP(Karakterlap!$V$7,$A$24:$C$33,3,FALSE),0)</f>
        <v>13</v>
      </c>
      <c r="BC53" s="40">
        <f>VLOOKUP("2k6+6",$I$2:$J$11,2,FALSE)+IFERROR(VLOOKUP(Karakterlap!$V$7,$A$24:$D$33,4,FALSE),0)</f>
        <v>13</v>
      </c>
      <c r="BD53" s="40">
        <f>VLOOKUP("3k6(2x)",$I$2:$J$11,2,FALSE)+IFERROR(VLOOKUP(Karakterlap!$V$7,$A$24:$E$33,5,FALSE),0)</f>
        <v>11</v>
      </c>
      <c r="BE53" s="40">
        <f>VLOOKUP("3k6(2x)",$I$2:$J$11,2,FALSE)+IFERROR(VLOOKUP(Karakterlap!$V$7,$A$24:$F$33,6,FALSE),0)</f>
        <v>11</v>
      </c>
      <c r="BF53" s="40">
        <f>VLOOKUP("k10+8",$I$2:$J$11,2,FALSE)+IFERROR(VLOOKUP(Karakterlap!$V$7,$A$24:$G$33,7,FALSE),0)</f>
        <v>14</v>
      </c>
      <c r="BG53" s="40">
        <f>VLOOKUP("k10+10",$I$2:$J$11,2,FALSE)+IFERROR(VLOOKUP(Karakterlap!$V$7,$A$24:$H$33,8,FALSE),0)</f>
        <v>16</v>
      </c>
      <c r="BH53" s="40">
        <f>VLOOKUP("k10+8",$I$2:$J$11,2,FALSE)+IFERROR(VLOOKUP(Karakterlap!$V$7,$A$24:$I$33,9,FALSE),0)</f>
        <v>14</v>
      </c>
      <c r="BI53" s="40">
        <f t="shared" si="2"/>
        <v>14</v>
      </c>
      <c r="BJ53" s="40">
        <f>VLOOKUP("k6+12",$I$2:$J$11,2,FALSE)+IFERROR(VLOOKUP(Karakterlap!$V$7,$A$24:$J$33,10,FALSE),0)</f>
        <v>16</v>
      </c>
      <c r="BK53" s="40">
        <f t="shared" si="3"/>
        <v>14</v>
      </c>
      <c r="BL53" s="40">
        <f>IF((SUM(Karakterlap!$F$3:$F$12)-SUM(BB53:BK53))&lt;0,0,SUM(Karakterlap!$F$3:$F$12)-SUM(BB53:BK53))</f>
        <v>0</v>
      </c>
      <c r="BM53" t="e">
        <f>IF(Karakterlap!$F$3&gt;18,IF((Karakterlap!$F$3-IF(BB53&gt;18,BB53,18))&gt;0,Karakterlap!$F$3-IF(BB53&gt;18,BB53,18),0),0)+IF(Karakterlap!$F$4&gt;18,IF((Karakterlap!$F$4-IF(BC53&gt;18,BC53,18))&gt;0,Karakterlap!$F$4-IF(BC53&gt;18,BC53,18),0),0)+IF(Karakterlap!$F$5&gt;18,IF((Karakterlap!$F$5-IF(BD53&gt;18,BD53,18))&gt;0,Karakterlap!$F$5-IF(BD53&gt;18,BD53,18),0),0)+IF(Karakterlap!$F$6&gt;18,IF((Karakterlap!$F$6-IF(BE53&gt;18,BE53,18))&gt;0,Karakterlap!$F$6-IF(BE53&gt;18,BE53,18),0),0)+IF(Karakterlap!$F$7&gt;18,IF((Karakterlap!$F$7-IF(BF53&gt;18,BF53,18))&gt;0,Karakterlap!$F$7-IF(BF53&gt;18,BF53,18),0),0)+IF(Karakterlap!$F$8&gt;18,IF((Karakterlap!$F$8-IF(BG53&gt;18,BG53,18))&gt;0,Karakterlap!$F$8-IF(BG53&gt;18,BG53,18),0),0)+IF(Karakterlap!$F$9&gt;18,IF((Karakterlap!$F$9-IF(BH53&gt;18,BH53,18))&gt;0,Karakterlap!$F$9-IF(BH53&gt;18,BH53,18),0),0)+IF(Karakterlap!$F$10&gt;18,IF((Karakterlap!$F$10-IF(BI53&gt;18,BI53,18))&gt;0,Karakterlap!$F$10-IF(BI53&gt;18,BI53,18),0),0)+IF(Karakterlap!$F$11&gt;18,IF((Karakterlap!$F$11-IF(BJ53&gt;18,BJ53,18))&gt;0,Karakterlap!$F$11-IF(BJ53&gt;18,BJ53,18),0),0)+IF(Karakterlap!$F$12&gt;18,IF((Karakterlap!$F$12-IF(BK53&gt;18,BK53,18))&gt;0,Karakterlap!$F$12-IF(BK53&gt;18,BK53,18),0),0)</f>
        <v>#VALUE!</v>
      </c>
    </row>
    <row r="54" spans="12:65" x14ac:dyDescent="0.25">
      <c r="L54" t="s">
        <v>91</v>
      </c>
      <c r="M54" s="10">
        <v>0</v>
      </c>
      <c r="N54" s="10">
        <v>161</v>
      </c>
      <c r="O54" s="10">
        <v>331</v>
      </c>
      <c r="P54" s="10">
        <v>661</v>
      </c>
      <c r="Q54" s="10">
        <v>1301</v>
      </c>
      <c r="R54" s="10">
        <v>2601</v>
      </c>
      <c r="S54" s="10">
        <v>5001</v>
      </c>
      <c r="T54" s="10">
        <v>9001</v>
      </c>
      <c r="U54" s="10">
        <v>23001</v>
      </c>
      <c r="V54" s="10">
        <v>50001</v>
      </c>
      <c r="W54" s="10">
        <v>90001</v>
      </c>
      <c r="X54" s="10">
        <v>130001</v>
      </c>
      <c r="Y54">
        <f>IFERROR(IF(VLOOKUP(L54,Karakterlap!$P$3:$Z$4,10,FALSE)&gt;13,165001+((VLOOKUP(L54,Karakterlap!$P$3:$Z$4,10,FALSE)-13)*50000),165001),165001)</f>
        <v>165001</v>
      </c>
      <c r="Z54" s="10">
        <v>5</v>
      </c>
      <c r="AA54" s="10">
        <v>15</v>
      </c>
      <c r="AB54" s="10">
        <v>65</v>
      </c>
      <c r="AC54" s="10">
        <v>0</v>
      </c>
      <c r="AD54" s="10">
        <f>IFERROR(VLOOKUP(L54,Karakterlap!$P$3:$Z$4,10,FALSE)*6,6)</f>
        <v>6</v>
      </c>
      <c r="AE54" s="10">
        <v>0</v>
      </c>
      <c r="AF54" s="10">
        <v>0</v>
      </c>
      <c r="AG54" s="10">
        <v>6</v>
      </c>
      <c r="AH54" s="10">
        <f>IF(Karakterlap!$P$5="Iker kaszt",IF(Karakterlap!$P$3=L54,IFERROR((Karakterlap!$P$6*10)+(VLOOKUP(L54,Karakterlap!$P$3:$Z$4,10,FALSE)-Karakterlap!$P$6),10),IF(Karakterlap!$P$4=L54,VLOOKUP(L54,Karakterlap!$P$3:$Z$4,10,FALSE),10)),IF(Karakterlap!$P$5="Váltott kaszt",IF(L54=Karakterlap!$P$3,(Karakterlap!$Y$3+3)*10,VLOOKUP(L54,Karakterlap!$P$3:$Z$4,10,FALSE)*10),IFERROR(VLOOKUP(L54,Karakterlap!$P$3:$Z$4,10,FALSE)*10,10)))</f>
        <v>10</v>
      </c>
      <c r="AI54" s="10">
        <v>0</v>
      </c>
      <c r="AJ54" s="10">
        <v>6</v>
      </c>
      <c r="AK54" s="10">
        <v>6</v>
      </c>
      <c r="AL54" s="10">
        <f>IFERROR(VLOOKUP(L54,Karakterlap!$P$3:$Z$4,10,FALSE)*($E$18+2),$E$18+2)</f>
        <v>8</v>
      </c>
      <c r="AM54" s="10">
        <v>6</v>
      </c>
      <c r="AN54" t="s">
        <v>109</v>
      </c>
      <c r="AO54" t="str">
        <f>IFERROR((IF(Karakterlap!$F$9&gt;10,Karakterlap!$F$9-10,0))+5+((VLOOKUP(L54,Karakterlap!$P$3:$Z$4,10,FALSE)-1)*4),"más kaszt")</f>
        <v>más kaszt</v>
      </c>
      <c r="BA54">
        <f>IFERROR(IF(Karakterlap!$P$6&gt;13,165001+((Karakterlap!$P$6-13)*50000),165001),165001)</f>
        <v>165001</v>
      </c>
      <c r="BB54" s="40">
        <f>VLOOKUP("2k6+6",$I$2:$J$11,2,FALSE)+IFERROR(VLOOKUP(Karakterlap!$V$7,$A$24:$C$33,3,FALSE),0)</f>
        <v>13</v>
      </c>
      <c r="BC54" s="40">
        <f>VLOOKUP("2k6+6",$I$2:$J$11,2,FALSE)+IFERROR(VLOOKUP(Karakterlap!$V$7,$A$24:$D$33,4,FALSE),0)</f>
        <v>13</v>
      </c>
      <c r="BD54" s="40">
        <f>VLOOKUP("3k6(2x)",$I$2:$J$11,2,FALSE)+IFERROR(VLOOKUP(Karakterlap!$V$7,$A$24:$E$33,5,FALSE),0)</f>
        <v>11</v>
      </c>
      <c r="BE54" s="40">
        <f>VLOOKUP("3k6(2x)",$I$2:$J$11,2,FALSE)+IFERROR(VLOOKUP(Karakterlap!$V$7,$A$24:$F$33,6,FALSE),0)</f>
        <v>11</v>
      </c>
      <c r="BF54" s="40">
        <f>VLOOKUP("k10+8",$I$2:$J$11,2,FALSE)+IFERROR(VLOOKUP(Karakterlap!$V$7,$A$24:$G$33,7,FALSE),0)</f>
        <v>14</v>
      </c>
      <c r="BG54" s="40">
        <f>VLOOKUP("k10+10",$I$2:$J$11,2,FALSE)+IFERROR(VLOOKUP(Karakterlap!$V$7,$A$24:$H$33,8,FALSE),0)</f>
        <v>16</v>
      </c>
      <c r="BH54" s="40">
        <f>VLOOKUP("k10+8",$I$2:$J$11,2,FALSE)+IFERROR(VLOOKUP(Karakterlap!$V$7,$A$24:$I$33,9,FALSE),0)</f>
        <v>14</v>
      </c>
      <c r="BI54" s="40">
        <f t="shared" si="2"/>
        <v>14</v>
      </c>
      <c r="BJ54" s="40">
        <f>VLOOKUP("k6+12",$I$2:$J$11,2,FALSE)+IFERROR(VLOOKUP(Karakterlap!$V$7,$A$24:$J$33,10,FALSE),0)</f>
        <v>16</v>
      </c>
      <c r="BK54" s="40">
        <f t="shared" si="3"/>
        <v>14</v>
      </c>
      <c r="BL54" s="40">
        <f>IF((SUM(Karakterlap!$F$3:$F$12)-SUM(BB54:BK54))&lt;0,0,SUM(Karakterlap!$F$3:$F$12)-SUM(BB54:BK54))</f>
        <v>0</v>
      </c>
      <c r="BM54" t="e">
        <f>IF(Karakterlap!$F$3&gt;18,IF((Karakterlap!$F$3-IF(BB54&gt;18,BB54,18))&gt;0,Karakterlap!$F$3-IF(BB54&gt;18,BB54,18),0),0)+IF(Karakterlap!$F$4&gt;18,IF((Karakterlap!$F$4-IF(BC54&gt;18,BC54,18))&gt;0,Karakterlap!$F$4-IF(BC54&gt;18,BC54,18),0),0)+IF(Karakterlap!$F$5&gt;18,IF((Karakterlap!$F$5-IF(BD54&gt;18,BD54,18))&gt;0,Karakterlap!$F$5-IF(BD54&gt;18,BD54,18),0),0)+IF(Karakterlap!$F$6&gt;18,IF((Karakterlap!$F$6-IF(BE54&gt;18,BE54,18))&gt;0,Karakterlap!$F$6-IF(BE54&gt;18,BE54,18),0),0)+IF(Karakterlap!$F$7&gt;18,IF((Karakterlap!$F$7-IF(BF54&gt;18,BF54,18))&gt;0,Karakterlap!$F$7-IF(BF54&gt;18,BF54,18),0),0)+IF(Karakterlap!$F$8&gt;18,IF((Karakterlap!$F$8-IF(BG54&gt;18,BG54,18))&gt;0,Karakterlap!$F$8-IF(BG54&gt;18,BG54,18),0),0)+IF(Karakterlap!$F$9&gt;18,IF((Karakterlap!$F$9-IF(BH54&gt;18,BH54,18))&gt;0,Karakterlap!$F$9-IF(BH54&gt;18,BH54,18),0),0)+IF(Karakterlap!$F$10&gt;18,IF((Karakterlap!$F$10-IF(BI54&gt;18,BI54,18))&gt;0,Karakterlap!$F$10-IF(BI54&gt;18,BI54,18),0),0)+IF(Karakterlap!$F$11&gt;18,IF((Karakterlap!$F$11-IF(BJ54&gt;18,BJ54,18))&gt;0,Karakterlap!$F$11-IF(BJ54&gt;18,BJ54,18),0),0)+IF(Karakterlap!$F$12&gt;18,IF((Karakterlap!$F$12-IF(BK54&gt;18,BK54,18))&gt;0,Karakterlap!$F$12-IF(BK54&gt;18,BK54,18),0),0)</f>
        <v>#VALUE!</v>
      </c>
    </row>
    <row r="55" spans="12:65" x14ac:dyDescent="0.25">
      <c r="L55" t="s">
        <v>100</v>
      </c>
      <c r="M55">
        <v>0</v>
      </c>
      <c r="N55">
        <v>161</v>
      </c>
      <c r="O55">
        <v>331</v>
      </c>
      <c r="P55">
        <v>661</v>
      </c>
      <c r="Q55">
        <v>1301</v>
      </c>
      <c r="R55">
        <v>2601</v>
      </c>
      <c r="S55">
        <v>5001</v>
      </c>
      <c r="T55">
        <v>9001</v>
      </c>
      <c r="U55">
        <v>23001</v>
      </c>
      <c r="V55">
        <v>50001</v>
      </c>
      <c r="W55">
        <v>90001</v>
      </c>
      <c r="X55">
        <v>130001</v>
      </c>
      <c r="Y55">
        <f>IFERROR(IF(VLOOKUP(L55,Karakterlap!$P$3:$Z$4,10,FALSE)&gt;13,165001+((VLOOKUP(L55,Karakterlap!$P$3:$Z$4,10,FALSE)-13)*50000),165001),165001)</f>
        <v>165001</v>
      </c>
      <c r="Z55">
        <v>5</v>
      </c>
      <c r="AA55">
        <v>17</v>
      </c>
      <c r="AB55">
        <v>72</v>
      </c>
      <c r="AC55">
        <v>0</v>
      </c>
      <c r="AD55">
        <f>IFERROR(VLOOKUP(L55,Karakterlap!$P$3:$Z$4,10,FALSE)*8,8)</f>
        <v>8</v>
      </c>
      <c r="AE55">
        <f>IFERROR(IF(Karakterlap!$P$5="Váltott kaszt",IF(Karakterlap!$P$3=Adattábla!$L55,Karakterlap!$Y$3*3,IF(Karakterlap!$P$4=Adattábla!$L55,(Karakterlap!$Y$4-Adattábla!$I$20)*3,3)),VLOOKUP(Adattábla!$L55,Karakterlap!$P$3:$Z$4,10,FALSE)*3),3)</f>
        <v>3</v>
      </c>
      <c r="AF55">
        <f>IFERROR(IF(Karakterlap!$P$5="Váltott kaszt",IF(Karakterlap!$P$3=Adattábla!$L55,Karakterlap!$Y$3*3,IF(Karakterlap!$P$4=Adattábla!$L55,(Karakterlap!$Y$4-Adattábla!$I$20)*3,3)),VLOOKUP(Adattábla!$L55,Karakterlap!$P$3:$Z$4,10,FALSE)*3),3)</f>
        <v>3</v>
      </c>
      <c r="AG55">
        <v>6</v>
      </c>
      <c r="AH55">
        <f>IF(Karakterlap!$P$5="Iker kaszt",IF(Karakterlap!$P$3=L55,IFERROR((Karakterlap!$P$6*10)+(VLOOKUP(L55,Karakterlap!$P$3:$Z$4,10,FALSE)-Karakterlap!$P$6),10),IF(Karakterlap!$P$4=L55,VLOOKUP(L55,Karakterlap!$P$3:$Z$4,10,FALSE),10)),IF(Karakterlap!$P$5="Váltott kaszt",IF(L55=Karakterlap!$P$3,10+((VLOOKUP(L55,Karakterlap!$P$3:$Z$4,10,FALSE)+2)*12),IF(VLOOKUP(L55,Karakterlap!$P$3:$Z$4,10,FALSE)&gt;1,10+((VLOOKUP(L55,Karakterlap!$P$3:$Z$4,10,FALSE)-1)*12),10)),IFERROR(IF(VLOOKUP(L55,Karakterlap!$P$3:$Z$4,10,FALSE)&gt;1,10+((VLOOKUP(L55,Karakterlap!$P$3:$Z$4,10,FALSE)-1)*12),10),10)))</f>
        <v>10</v>
      </c>
      <c r="AI55" s="10">
        <v>0</v>
      </c>
      <c r="AJ55">
        <v>6</v>
      </c>
      <c r="AK55">
        <v>6</v>
      </c>
      <c r="AL55">
        <f>IFERROR(VLOOKUP(L55,Karakterlap!$P$3:$Z$4,10,FALSE)*($E$18+2),$E$18+2)</f>
        <v>8</v>
      </c>
      <c r="AM55">
        <f>IFERROR(IF(VLOOKUP(L55,Karakterlap!$P$3:$Z$4,10,FALSE)&gt;1,9+((VLOOKUP(L55,Karakterlap!$P$3:$Z$4,10,FALSE)-1)*(($E$18)+3)),9),9)</f>
        <v>9</v>
      </c>
      <c r="AN55" t="s">
        <v>109</v>
      </c>
      <c r="AO55" t="str">
        <f>IFERROR((IF(Karakterlap!$F$9&gt;10,Karakterlap!$F$9-10,0))+5+((VLOOKUP(L55,Karakterlap!$P$3:$Z$4,10,FALSE)-1)*4),"más kaszt")</f>
        <v>más kaszt</v>
      </c>
      <c r="BA55">
        <f>IFERROR(IF(Karakterlap!$P$6&gt;13,165001+((Karakterlap!$P$6-13)*50000),165001),165001)</f>
        <v>165001</v>
      </c>
      <c r="BB55" s="40">
        <f>VLOOKUP("2k6+6",$I$2:$J$11,2,FALSE)+IFERROR(VLOOKUP(Karakterlap!$V$7,$A$24:$C$33,3,FALSE),0)</f>
        <v>13</v>
      </c>
      <c r="BC55" s="40">
        <f>VLOOKUP("2k6+6",$I$2:$J$11,2,FALSE)+IFERROR(VLOOKUP(Karakterlap!$V$7,$A$24:$D$33,4,FALSE),0)</f>
        <v>13</v>
      </c>
      <c r="BD55" s="40">
        <f>VLOOKUP("3k6(2x)",$I$2:$J$11,2,FALSE)+IFERROR(VLOOKUP(Karakterlap!$V$7,$A$24:$E$33,5,FALSE),0)</f>
        <v>11</v>
      </c>
      <c r="BE55" s="40">
        <f>VLOOKUP("3k6(2x)",$I$2:$J$11,2,FALSE)+IFERROR(VLOOKUP(Karakterlap!$V$7,$A$24:$F$33,6,FALSE),0)</f>
        <v>11</v>
      </c>
      <c r="BF55" s="40">
        <f>VLOOKUP("k10+8",$I$2:$J$11,2,FALSE)+IFERROR(VLOOKUP(Karakterlap!$V$7,$A$24:$G$33,7,FALSE),0)</f>
        <v>14</v>
      </c>
      <c r="BG55" s="40">
        <f>VLOOKUP("k10+10",$I$2:$J$11,2,FALSE)+IFERROR(VLOOKUP(Karakterlap!$V$7,$A$24:$H$33,8,FALSE),0)</f>
        <v>16</v>
      </c>
      <c r="BH55" s="40">
        <f>VLOOKUP("k10+8",$I$2:$J$11,2,FALSE)+IFERROR(VLOOKUP(Karakterlap!$V$7,$A$24:$I$33,9,FALSE),0)</f>
        <v>14</v>
      </c>
      <c r="BI55" s="40">
        <f t="shared" si="2"/>
        <v>14</v>
      </c>
      <c r="BJ55" s="40">
        <f>VLOOKUP("k6+12",$I$2:$J$11,2,FALSE)+IFERROR(VLOOKUP(Karakterlap!$V$7,$A$24:$J$33,10,FALSE),0)</f>
        <v>16</v>
      </c>
      <c r="BK55" s="40">
        <f t="shared" si="3"/>
        <v>14</v>
      </c>
      <c r="BL55" s="40">
        <f>IF((SUM(Karakterlap!$F$3:$F$12)-SUM(BB55:BK55))&lt;0,0,SUM(Karakterlap!$F$3:$F$12)-SUM(BB55:BK55))</f>
        <v>0</v>
      </c>
      <c r="BM55" t="e">
        <f>IF(Karakterlap!$F$3&gt;18,IF((Karakterlap!$F$3-IF(BB55&gt;18,BB55,18))&gt;0,Karakterlap!$F$3-IF(BB55&gt;18,BB55,18),0),0)+IF(Karakterlap!$F$4&gt;18,IF((Karakterlap!$F$4-IF(BC55&gt;18,BC55,18))&gt;0,Karakterlap!$F$4-IF(BC55&gt;18,BC55,18),0),0)+IF(Karakterlap!$F$5&gt;18,IF((Karakterlap!$F$5-IF(BD55&gt;18,BD55,18))&gt;0,Karakterlap!$F$5-IF(BD55&gt;18,BD55,18),0),0)+IF(Karakterlap!$F$6&gt;18,IF((Karakterlap!$F$6-IF(BE55&gt;18,BE55,18))&gt;0,Karakterlap!$F$6-IF(BE55&gt;18,BE55,18),0),0)+IF(Karakterlap!$F$7&gt;18,IF((Karakterlap!$F$7-IF(BF55&gt;18,BF55,18))&gt;0,Karakterlap!$F$7-IF(BF55&gt;18,BF55,18),0),0)+IF(Karakterlap!$F$8&gt;18,IF((Karakterlap!$F$8-IF(BG55&gt;18,BG55,18))&gt;0,Karakterlap!$F$8-IF(BG55&gt;18,BG55,18),0),0)+IF(Karakterlap!$F$9&gt;18,IF((Karakterlap!$F$9-IF(BH55&gt;18,BH55,18))&gt;0,Karakterlap!$F$9-IF(BH55&gt;18,BH55,18),0),0)+IF(Karakterlap!$F$10&gt;18,IF((Karakterlap!$F$10-IF(BI55&gt;18,BI55,18))&gt;0,Karakterlap!$F$10-IF(BI55&gt;18,BI55,18),0),0)+IF(Karakterlap!$F$11&gt;18,IF((Karakterlap!$F$11-IF(BJ55&gt;18,BJ55,18))&gt;0,Karakterlap!$F$11-IF(BJ55&gt;18,BJ55,18),0),0)+IF(Karakterlap!$F$12&gt;18,IF((Karakterlap!$F$12-IF(BK55&gt;18,BK55,18))&gt;0,Karakterlap!$F$12-IF(BK55&gt;18,BK55,18),0),0)</f>
        <v>#VALUE!</v>
      </c>
    </row>
    <row r="56" spans="12:65" x14ac:dyDescent="0.25">
      <c r="L56" t="s">
        <v>175</v>
      </c>
      <c r="M56" s="10">
        <v>0</v>
      </c>
      <c r="N56" s="10">
        <v>161</v>
      </c>
      <c r="O56" s="10">
        <v>331</v>
      </c>
      <c r="P56" s="10">
        <v>661</v>
      </c>
      <c r="Q56" s="10">
        <v>1301</v>
      </c>
      <c r="R56" s="10">
        <v>2601</v>
      </c>
      <c r="S56" s="10">
        <v>5001</v>
      </c>
      <c r="T56" s="10">
        <v>9001</v>
      </c>
      <c r="U56" s="10">
        <v>23001</v>
      </c>
      <c r="V56" s="10">
        <v>50001</v>
      </c>
      <c r="W56" s="10">
        <v>90001</v>
      </c>
      <c r="X56" s="10">
        <v>130001</v>
      </c>
      <c r="Y56" s="10">
        <f>IFERROR(IF(VLOOKUP(L56,Karakterlap!$P$3:$Z$4,10,FALSE)&gt;13,165001+((VLOOKUP(L56,Karakterlap!$P$3:$Z$4,10,FALSE)-13)*50000),165001),165001)</f>
        <v>165001</v>
      </c>
      <c r="Z56" s="10">
        <v>5</v>
      </c>
      <c r="AA56" s="10">
        <v>17</v>
      </c>
      <c r="AB56" s="10">
        <v>72</v>
      </c>
      <c r="AC56" s="10">
        <v>0</v>
      </c>
      <c r="AD56" s="10">
        <f>IFERROR(VLOOKUP(L56,Karakterlap!$P$3:$Z$4,10,FALSE)*8,8)</f>
        <v>8</v>
      </c>
      <c r="AE56" s="10">
        <f>IFERROR(IF(Karakterlap!$P$5="Váltott kaszt",IF(Karakterlap!$P$3=Adattábla!$L56,Karakterlap!$Y$3*3,IF(Karakterlap!$P$4=Adattábla!$L56,(Karakterlap!$Y$4-Adattábla!$I$20)*3,3)),VLOOKUP(Adattábla!$L56,Karakterlap!$P$3:$Z$4,10,FALSE)*3),3)</f>
        <v>3</v>
      </c>
      <c r="AF56" s="10">
        <f>IFERROR(IF(Karakterlap!$P$5="Váltott kaszt",IF(Karakterlap!$P$3=Adattábla!$L56,Karakterlap!$Y$3*3,IF(Karakterlap!$P$4=Adattábla!$L56,(Karakterlap!$Y$4-Adattábla!$I$20)*3,3)),VLOOKUP(Adattábla!$L56,Karakterlap!$P$3:$Z$4,10,FALSE)*3),3)</f>
        <v>3</v>
      </c>
      <c r="AG56" s="10">
        <v>6</v>
      </c>
      <c r="AH56">
        <f>IF(Karakterlap!$P$5="Iker kaszt",IF(Karakterlap!$P$3=L56,IFERROR((Karakterlap!$P$6*10)+(VLOOKUP(L56,Karakterlap!$P$3:$Z$4,10,FALSE)-Karakterlap!$P$6),10),IF(Karakterlap!$P$4=L56,VLOOKUP(L56,Karakterlap!$P$3:$Z$4,10,FALSE),10)),IF(Karakterlap!$P$5="Váltott kaszt",IF(L56=Karakterlap!$P$3,(Karakterlap!$Y$3+3)*10,VLOOKUP(L56,Karakterlap!$P$3:$Z$4,10,FALSE)*10),IFERROR(VLOOKUP(L56,Karakterlap!$P$3:$Z$4,10,FALSE)*10,10)))</f>
        <v>10</v>
      </c>
      <c r="AI56" s="10">
        <v>0</v>
      </c>
      <c r="AJ56" s="10">
        <v>6</v>
      </c>
      <c r="AK56" s="10">
        <v>6</v>
      </c>
      <c r="AL56" s="10">
        <f>IFERROR(VLOOKUP(L56,Karakterlap!$P$3:$Z$4,10,FALSE)*($E$18+2),$E$18+2)</f>
        <v>8</v>
      </c>
      <c r="AM56" s="10">
        <f>IFERROR(IF(VLOOKUP(L56,Karakterlap!$P$3:$Z$4,10,FALSE)&gt;1,9+((VLOOKUP(L56,Karakterlap!$P$3:$Z$4,10,FALSE)-1)*(($E$18)+3)),9),9)</f>
        <v>9</v>
      </c>
      <c r="AN56" s="10" t="s">
        <v>109</v>
      </c>
      <c r="AO56" s="10" t="str">
        <f>IFERROR((IF(Karakterlap!$F$9&gt;10,Karakterlap!$F$9-10,0))+5+((VLOOKUP(L55,Karakterlap!$P$3:$Z$4,10,FALSE)-1)*4),"más kaszt")</f>
        <v>más kaszt</v>
      </c>
      <c r="AP56" s="10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10">
        <f>IFERROR(IF(Karakterlap!$P$6&gt;13,165001+((Karakterlap!$P$6-13)*50000),165001),165001)</f>
        <v>165001</v>
      </c>
      <c r="BB56" s="40">
        <f>VLOOKUP("2k6+6",$I$2:$J$11,2,FALSE)+IFERROR(VLOOKUP(Karakterlap!$V$7,$A$24:$C$33,3,FALSE),0)</f>
        <v>13</v>
      </c>
      <c r="BC56" s="40">
        <f>VLOOKUP("2k6+6",$I$2:$J$11,2,FALSE)+IFERROR(VLOOKUP(Karakterlap!$V$7,$A$24:$D$33,4,FALSE),0)</f>
        <v>13</v>
      </c>
      <c r="BD56" s="40">
        <f>VLOOKUP("3k6(2x)",$I$2:$J$11,2,FALSE)+IFERROR(VLOOKUP(Karakterlap!$V$7,$A$24:$E$33,5,FALSE),0)</f>
        <v>11</v>
      </c>
      <c r="BE56" s="40">
        <f>VLOOKUP("3k6(2x)",$I$2:$J$11,2,FALSE)+IFERROR(VLOOKUP(Karakterlap!$V$7,$A$24:$F$33,6,FALSE),0)</f>
        <v>11</v>
      </c>
      <c r="BF56" s="40">
        <f>VLOOKUP("k10+8",$I$2:$J$11,2,FALSE)+IFERROR(VLOOKUP(Karakterlap!$V$7,$A$24:$G$33,7,FALSE),0)</f>
        <v>14</v>
      </c>
      <c r="BG56" s="40">
        <f>VLOOKUP("k10+10",$I$2:$J$11,2,FALSE)+IFERROR(VLOOKUP(Karakterlap!$V$7,$A$24:$H$33,8,FALSE),0)</f>
        <v>16</v>
      </c>
      <c r="BH56" s="40">
        <f>VLOOKUP("k10+8",$I$2:$J$11,2,FALSE)+IFERROR(VLOOKUP(Karakterlap!$V$7,$A$24:$I$33,9,FALSE),0)</f>
        <v>14</v>
      </c>
      <c r="BI56" s="40">
        <f t="shared" si="2"/>
        <v>14</v>
      </c>
      <c r="BJ56" s="40">
        <f>VLOOKUP("k6+12",$I$2:$J$11,2,FALSE)+IFERROR(VLOOKUP(Karakterlap!$V$7,$A$24:$J$33,10,FALSE),0)</f>
        <v>16</v>
      </c>
      <c r="BK56" s="40">
        <f t="shared" si="3"/>
        <v>14</v>
      </c>
      <c r="BL56" s="40">
        <f>IF((SUM(Karakterlap!$F$3:$F$12)-SUM(BB56:BK56))&lt;0,0,SUM(Karakterlap!$F$3:$F$12)-SUM(BB56:BK56))</f>
        <v>0</v>
      </c>
      <c r="BM56" t="e">
        <f>IF(Karakterlap!$F$3&gt;18,IF((Karakterlap!$F$3-IF(BB56&gt;18,BB56,18))&gt;0,Karakterlap!$F$3-IF(BB56&gt;18,BB56,18),0),0)+IF(Karakterlap!$F$4&gt;18,IF((Karakterlap!$F$4-IF(BC56&gt;18,BC56,18))&gt;0,Karakterlap!$F$4-IF(BC56&gt;18,BC56,18),0),0)+IF(Karakterlap!$F$5&gt;18,IF((Karakterlap!$F$5-IF(BD56&gt;18,BD56,18))&gt;0,Karakterlap!$F$5-IF(BD56&gt;18,BD56,18),0),0)+IF(Karakterlap!$F$6&gt;18,IF((Karakterlap!$F$6-IF(BE56&gt;18,BE56,18))&gt;0,Karakterlap!$F$6-IF(BE56&gt;18,BE56,18),0),0)+IF(Karakterlap!$F$7&gt;18,IF((Karakterlap!$F$7-IF(BF56&gt;18,BF56,18))&gt;0,Karakterlap!$F$7-IF(BF56&gt;18,BF56,18),0),0)+IF(Karakterlap!$F$8&gt;18,IF((Karakterlap!$F$8-IF(BG56&gt;18,BG56,18))&gt;0,Karakterlap!$F$8-IF(BG56&gt;18,BG56,18),0),0)+IF(Karakterlap!$F$9&gt;18,IF((Karakterlap!$F$9-IF(BH56&gt;18,BH56,18))&gt;0,Karakterlap!$F$9-IF(BH56&gt;18,BH56,18),0),0)+IF(Karakterlap!$F$10&gt;18,IF((Karakterlap!$F$10-IF(BI56&gt;18,BI56,18))&gt;0,Karakterlap!$F$10-IF(BI56&gt;18,BI56,18),0),0)+IF(Karakterlap!$F$11&gt;18,IF((Karakterlap!$F$11-IF(BJ56&gt;18,BJ56,18))&gt;0,Karakterlap!$F$11-IF(BJ56&gt;18,BJ56,18),0),0)+IF(Karakterlap!$F$12&gt;18,IF((Karakterlap!$F$12-IF(BK56&gt;18,BK56,18))&gt;0,Karakterlap!$F$12-IF(BK56&gt;18,BK56,18),0),0)</f>
        <v>#VALUE!</v>
      </c>
    </row>
    <row r="57" spans="12:65" x14ac:dyDescent="0.25">
      <c r="L57" t="s">
        <v>92</v>
      </c>
      <c r="M57" s="10">
        <v>0</v>
      </c>
      <c r="N57" s="10">
        <v>161</v>
      </c>
      <c r="O57" s="10">
        <v>331</v>
      </c>
      <c r="P57" s="10">
        <v>661</v>
      </c>
      <c r="Q57" s="10">
        <v>1301</v>
      </c>
      <c r="R57" s="10">
        <v>2601</v>
      </c>
      <c r="S57" s="10">
        <v>5001</v>
      </c>
      <c r="T57" s="10">
        <v>9001</v>
      </c>
      <c r="U57" s="10">
        <v>23001</v>
      </c>
      <c r="V57" s="10">
        <v>50001</v>
      </c>
      <c r="W57" s="10">
        <v>90001</v>
      </c>
      <c r="X57" s="10">
        <v>130001</v>
      </c>
      <c r="Y57">
        <f>IFERROR(IF(VLOOKUP(L57,Karakterlap!$P$3:$Z$4,10,FALSE)&gt;13,165001+((VLOOKUP(L57,Karakterlap!$P$3:$Z$4,10,FALSE)-13)*50000),165001),165001)</f>
        <v>165001</v>
      </c>
      <c r="Z57" s="10">
        <v>5</v>
      </c>
      <c r="AA57" s="10">
        <v>17</v>
      </c>
      <c r="AB57" s="10">
        <v>72</v>
      </c>
      <c r="AC57" s="10">
        <v>0</v>
      </c>
      <c r="AD57" s="10">
        <f>IFERROR(VLOOKUP(L57,Karakterlap!$P$3:$Z$4,10,FALSE)*8,8)</f>
        <v>8</v>
      </c>
      <c r="AE57" s="10">
        <f>IFERROR(IF(Karakterlap!$P$5="Váltott kaszt",IF(Karakterlap!$P$3=Adattábla!$L57,Karakterlap!$Y$3*3,IF(Karakterlap!$P$4=Adattábla!$L57,(Karakterlap!$Y$4-Adattábla!$I$20)*3,3)),VLOOKUP(Adattábla!$L57,Karakterlap!$P$3:$Z$4,10,FALSE)*3),3)</f>
        <v>3</v>
      </c>
      <c r="AF57" s="10">
        <f>IFERROR(IF(Karakterlap!$P$5="Váltott kaszt",IF(Karakterlap!$P$3=Adattábla!$L57,Karakterlap!$Y$3*3,IF(Karakterlap!$P$4=Adattábla!$L57,(Karakterlap!$Y$4-Adattábla!$I$20)*3,3)),VLOOKUP(Adattábla!$L57,Karakterlap!$P$3:$Z$4,10,FALSE)*3),3)</f>
        <v>3</v>
      </c>
      <c r="AG57" s="10">
        <v>6</v>
      </c>
      <c r="AH57" s="10">
        <f>IF(Karakterlap!$P$5="Iker kaszt",IF(Karakterlap!$P$3=L57,IFERROR((Karakterlap!$P$6*10)+(VLOOKUP(L57,Karakterlap!$P$3:$Z$4,10,FALSE)-Karakterlap!$P$6),10),IF(Karakterlap!$P$4=L57,VLOOKUP(L57,Karakterlap!$P$3:$Z$4,10,FALSE),10)),IF(Karakterlap!$P$5="Váltott kaszt",IF(L57=Karakterlap!$P$3,(Karakterlap!$Y$3+3)*10,VLOOKUP(L57,Karakterlap!$P$3:$Z$4,10,FALSE)*10),IFERROR(VLOOKUP(L57,Karakterlap!$P$3:$Z$4,10,FALSE)*10,10)))</f>
        <v>10</v>
      </c>
      <c r="AI57" s="10">
        <v>0</v>
      </c>
      <c r="AJ57" s="10">
        <v>6</v>
      </c>
      <c r="AK57" s="10">
        <v>6</v>
      </c>
      <c r="AL57" s="10">
        <f>IFERROR(VLOOKUP(L57,Karakterlap!$P$3:$Z$4,10,FALSE)*($E$18+2),$E$18+2)</f>
        <v>8</v>
      </c>
      <c r="AM57" s="10">
        <f>IFERROR(IF(VLOOKUP(L57,Karakterlap!$P$3:$Z$4,10,FALSE)&gt;1,9+((VLOOKUP(L57,Karakterlap!$P$3:$Z$4,10,FALSE)-1)*(($E$18)+3)),9),9)</f>
        <v>9</v>
      </c>
      <c r="AN57" t="s">
        <v>109</v>
      </c>
      <c r="AO57" t="str">
        <f>IFERROR((IF(Karakterlap!$F$9&gt;10,Karakterlap!$F$9-10,0))+5+((VLOOKUP(L57,Karakterlap!$P$3:$Z$4,10,FALSE)-1)*4),"más kaszt")</f>
        <v>más kaszt</v>
      </c>
      <c r="BA57">
        <f>IFERROR(IF(Karakterlap!$P$6&gt;13,165001+((Karakterlap!$P$6-13)*50000),165001),165001)</f>
        <v>165001</v>
      </c>
      <c r="BB57" s="40">
        <f>VLOOKUP("2k6+6",$I$2:$J$11,2,FALSE)+IFERROR(VLOOKUP(Karakterlap!$V$7,$A$24:$C$33,3,FALSE),0)</f>
        <v>13</v>
      </c>
      <c r="BC57" s="40">
        <f>VLOOKUP("2k6+6",$I$2:$J$11,2,FALSE)+IFERROR(VLOOKUP(Karakterlap!$V$7,$A$24:$D$33,4,FALSE),0)</f>
        <v>13</v>
      </c>
      <c r="BD57" s="40">
        <f>VLOOKUP("3k6(2x)",$I$2:$J$11,2,FALSE)+IFERROR(VLOOKUP(Karakterlap!$V$7,$A$24:$E$33,5,FALSE),0)</f>
        <v>11</v>
      </c>
      <c r="BE57" s="40">
        <f>VLOOKUP("3k6(2x)",$I$2:$J$11,2,FALSE)+IFERROR(VLOOKUP(Karakterlap!$V$7,$A$24:$F$33,6,FALSE),0)</f>
        <v>11</v>
      </c>
      <c r="BF57" s="40">
        <f>VLOOKUP("k10+8",$I$2:$J$11,2,FALSE)+IFERROR(VLOOKUP(Karakterlap!$V$7,$A$24:$G$33,7,FALSE),0)</f>
        <v>14</v>
      </c>
      <c r="BG57" s="40">
        <f>VLOOKUP("k10+10",$I$2:$J$11,2,FALSE)+IFERROR(VLOOKUP(Karakterlap!$V$7,$A$24:$H$33,8,FALSE),0)</f>
        <v>16</v>
      </c>
      <c r="BH57" s="40">
        <f>VLOOKUP("k10+8",$I$2:$J$11,2,FALSE)+IFERROR(VLOOKUP(Karakterlap!$V$7,$A$24:$I$33,9,FALSE),0)</f>
        <v>14</v>
      </c>
      <c r="BI57" s="40">
        <f t="shared" si="2"/>
        <v>14</v>
      </c>
      <c r="BJ57" s="40">
        <f>VLOOKUP("k6+12",$I$2:$J$11,2,FALSE)+IFERROR(VLOOKUP(Karakterlap!$V$7,$A$24:$J$33,10,FALSE),0)</f>
        <v>16</v>
      </c>
      <c r="BK57" s="40">
        <f t="shared" si="3"/>
        <v>14</v>
      </c>
      <c r="BL57" s="40">
        <f>IF((SUM(Karakterlap!$F$3:$F$12)-SUM(BB57:BK57))&lt;0,0,SUM(Karakterlap!$F$3:$F$12)-SUM(BB57:BK57))</f>
        <v>0</v>
      </c>
      <c r="BM57" t="e">
        <f>IF(Karakterlap!$F$3&gt;18,IF((Karakterlap!$F$3-IF(BB57&gt;18,BB57,18))&gt;0,Karakterlap!$F$3-IF(BB57&gt;18,BB57,18),0),0)+IF(Karakterlap!$F$4&gt;18,IF((Karakterlap!$F$4-IF(BC57&gt;18,BC57,18))&gt;0,Karakterlap!$F$4-IF(BC57&gt;18,BC57,18),0),0)+IF(Karakterlap!$F$5&gt;18,IF((Karakterlap!$F$5-IF(BD57&gt;18,BD57,18))&gt;0,Karakterlap!$F$5-IF(BD57&gt;18,BD57,18),0),0)+IF(Karakterlap!$F$6&gt;18,IF((Karakterlap!$F$6-IF(BE57&gt;18,BE57,18))&gt;0,Karakterlap!$F$6-IF(BE57&gt;18,BE57,18),0),0)+IF(Karakterlap!$F$7&gt;18,IF((Karakterlap!$F$7-IF(BF57&gt;18,BF57,18))&gt;0,Karakterlap!$F$7-IF(BF57&gt;18,BF57,18),0),0)+IF(Karakterlap!$F$8&gt;18,IF((Karakterlap!$F$8-IF(BG57&gt;18,BG57,18))&gt;0,Karakterlap!$F$8-IF(BG57&gt;18,BG57,18),0),0)+IF(Karakterlap!$F$9&gt;18,IF((Karakterlap!$F$9-IF(BH57&gt;18,BH57,18))&gt;0,Karakterlap!$F$9-IF(BH57&gt;18,BH57,18),0),0)+IF(Karakterlap!$F$10&gt;18,IF((Karakterlap!$F$10-IF(BI57&gt;18,BI57,18))&gt;0,Karakterlap!$F$10-IF(BI57&gt;18,BI57,18),0),0)+IF(Karakterlap!$F$11&gt;18,IF((Karakterlap!$F$11-IF(BJ57&gt;18,BJ57,18))&gt;0,Karakterlap!$F$11-IF(BJ57&gt;18,BJ57,18),0),0)+IF(Karakterlap!$F$12&gt;18,IF((Karakterlap!$F$12-IF(BK57&gt;18,BK57,18))&gt;0,Karakterlap!$F$12-IF(BK57&gt;18,BK57,18),0),0)</f>
        <v>#VALUE!</v>
      </c>
    </row>
    <row r="58" spans="12:65" x14ac:dyDescent="0.25">
      <c r="L58" t="s">
        <v>99</v>
      </c>
      <c r="M58" s="10">
        <v>0</v>
      </c>
      <c r="N58" s="10">
        <v>100</v>
      </c>
      <c r="O58" s="10">
        <v>200</v>
      </c>
      <c r="P58" s="10">
        <v>400</v>
      </c>
      <c r="Q58" s="10">
        <v>800</v>
      </c>
      <c r="R58" s="10">
        <v>1600</v>
      </c>
      <c r="S58" s="10">
        <v>3200</v>
      </c>
      <c r="T58" s="10">
        <v>6400</v>
      </c>
      <c r="U58" s="10">
        <v>12800</v>
      </c>
      <c r="V58" s="10">
        <v>24800</v>
      </c>
      <c r="W58" s="10">
        <v>36800</v>
      </c>
      <c r="X58" s="10">
        <v>48800</v>
      </c>
      <c r="Y58">
        <f>IFERROR(IF(VLOOKUP(L58,Karakterlap!$P$3:$Z$4,10,FALSE)&gt;13,60800+((VLOOKUP(L58,Karakterlap!$P$3:$Z$4,10,FALSE)-13)*12000),60800),60800)</f>
        <v>60800</v>
      </c>
      <c r="Z58" s="10">
        <v>2</v>
      </c>
      <c r="AA58" s="10">
        <v>13</v>
      </c>
      <c r="AB58" s="10">
        <v>69</v>
      </c>
      <c r="AC58" s="10">
        <v>0</v>
      </c>
      <c r="AD58" s="10">
        <f>IFERROR(VLOOKUP(L58,Karakterlap!$P$3:$Z$4,10,FALSE)*4,4)</f>
        <v>4</v>
      </c>
      <c r="AE58" s="10">
        <v>0</v>
      </c>
      <c r="AF58" s="10">
        <f>IFERROR(IF(Karakterlap!$P$5="Váltott kaszt",IF(Karakterlap!$P$3=Adattábla!$L58,Karakterlap!$Y$3*2,IF(Karakterlap!$P$4=Adattábla!$L58,(Karakterlap!$Y$4-Adattábla!$I$20)*2,2)),VLOOKUP(Adattábla!$L58,Karakterlap!$P$3:$Z$4,10,FALSE)*2),2)</f>
        <v>2</v>
      </c>
      <c r="AG58" s="10">
        <v>12</v>
      </c>
      <c r="AH58" s="10">
        <f>IF(Karakterlap!$P$5="Iker kaszt",IF(Karakterlap!$P$3=L58,IFERROR((Karakterlap!$P$6*10)+(VLOOKUP(L58,Karakterlap!$P$3:$Z$4,10,FALSE)-Karakterlap!$P$6),10),IF(Karakterlap!$P$4=L58,VLOOKUP(L58,Karakterlap!$P$3:$Z$4,10,FALSE),10)),IF(Karakterlap!$P$5="Váltott kaszt",IF(L58=Karakterlap!$P$3,(Karakterlap!$Y$3+3)*10,VLOOKUP(L58,Karakterlap!$P$3:$Z$4,10,FALSE)*10),IFERROR(VLOOKUP(L58,Karakterlap!$P$3:$Z$4,10,FALSE)*10,10)))</f>
        <v>10</v>
      </c>
      <c r="AI58" s="10">
        <v>0</v>
      </c>
      <c r="AJ58" s="10">
        <v>6</v>
      </c>
      <c r="AK58" s="10">
        <v>6</v>
      </c>
      <c r="AL58" s="10">
        <f>IFERROR(VLOOKUP(L58,Karakterlap!$P$3:$Z$4,10,FALSE)*(11),11)</f>
        <v>11</v>
      </c>
      <c r="AM58" s="10">
        <f>IFERROR(IF(VLOOKUP(L58,Karakterlap!$P$3:$Z$4,10,FALSE)&gt;1,9+((VLOOKUP(L58,Karakterlap!$P$3:$Z$4,10,FALSE)-1)*(($E$18)+3)),9),9)</f>
        <v>9</v>
      </c>
      <c r="AN58" t="s">
        <v>109</v>
      </c>
      <c r="AO58" t="str">
        <f>IFERROR((IF(Karakterlap!$F$9&gt;10,Karakterlap!$F$9-10,0))+5+((VLOOKUP(L58,Karakterlap!$P$3:$Z$4,10,FALSE)-1)*4),"más kaszt")</f>
        <v>más kaszt</v>
      </c>
      <c r="BA58">
        <f>IFERROR(IF(Karakterlap!$P$6&gt;13,60800+((Karakterlap!$P$6-13)*12000),60800),60800)</f>
        <v>60800</v>
      </c>
      <c r="BB58" s="40">
        <f>VLOOKUP("2k6+6",$I$2:$J$11,2,FALSE)+IFERROR(VLOOKUP(Karakterlap!$V$7,$A$24:$C$33,3,FALSE),0)</f>
        <v>13</v>
      </c>
      <c r="BC58" s="40">
        <f>VLOOKUP("2k6+6",$I$2:$J$11,2,FALSE)+IFERROR(VLOOKUP(Karakterlap!$V$7,$A$24:$D$33,4,FALSE),0)</f>
        <v>13</v>
      </c>
      <c r="BD58" s="40">
        <f>VLOOKUP("3k6(2x)",$I$2:$J$11,2,FALSE)+IFERROR(VLOOKUP(Karakterlap!$V$7,$A$24:$E$33,5,FALSE),0)</f>
        <v>11</v>
      </c>
      <c r="BE58" s="40">
        <f>VLOOKUP("3k6(2x)",$I$2:$J$11,2,FALSE)+IFERROR(VLOOKUP(Karakterlap!$V$7,$A$24:$F$33,6,FALSE),0)</f>
        <v>11</v>
      </c>
      <c r="BF58" s="40">
        <f>VLOOKUP("k10+8",$I$2:$J$11,2,FALSE)+IFERROR(VLOOKUP(Karakterlap!$V$7,$A$24:$G$33,7,FALSE),0)</f>
        <v>14</v>
      </c>
      <c r="BG58" s="40">
        <f>VLOOKUP("k10+10",$I$2:$J$11,2,FALSE)+IFERROR(VLOOKUP(Karakterlap!$V$7,$A$24:$H$33,8,FALSE),0)</f>
        <v>16</v>
      </c>
      <c r="BH58" s="40">
        <f>VLOOKUP("k10+8",$I$2:$J$11,2,FALSE)+IFERROR(VLOOKUP(Karakterlap!$V$7,$A$24:$I$33,9,FALSE),0)</f>
        <v>14</v>
      </c>
      <c r="BI58" s="40">
        <f t="shared" si="2"/>
        <v>14</v>
      </c>
      <c r="BJ58" s="40">
        <f>VLOOKUP("k6+12",$I$2:$J$11,2,FALSE)+IFERROR(VLOOKUP(Karakterlap!$V$7,$A$24:$J$33,10,FALSE),0)</f>
        <v>16</v>
      </c>
      <c r="BK58" s="40">
        <f t="shared" si="3"/>
        <v>14</v>
      </c>
      <c r="BL58" s="40">
        <f>IF((SUM(Karakterlap!$F$3:$F$12)-SUM(BB58:BK58))&lt;0,0,SUM(Karakterlap!$F$3:$F$12)-SUM(BB58:BK58))</f>
        <v>0</v>
      </c>
      <c r="BM58" t="e">
        <f>IF(Karakterlap!$F$3&gt;18,IF((Karakterlap!$F$3-IF(BB58&gt;18,BB58,18))&gt;0,Karakterlap!$F$3-IF(BB58&gt;18,BB58,18),0),0)+IF(Karakterlap!$F$4&gt;18,IF((Karakterlap!$F$4-IF(BC58&gt;18,BC58,18))&gt;0,Karakterlap!$F$4-IF(BC58&gt;18,BC58,18),0),0)+IF(Karakterlap!$F$5&gt;18,IF((Karakterlap!$F$5-IF(BD58&gt;18,BD58,18))&gt;0,Karakterlap!$F$5-IF(BD58&gt;18,BD58,18),0),0)+IF(Karakterlap!$F$6&gt;18,IF((Karakterlap!$F$6-IF(BE58&gt;18,BE58,18))&gt;0,Karakterlap!$F$6-IF(BE58&gt;18,BE58,18),0),0)+IF(Karakterlap!$F$7&gt;18,IF((Karakterlap!$F$7-IF(BF58&gt;18,BF58,18))&gt;0,Karakterlap!$F$7-IF(BF58&gt;18,BF58,18),0),0)+IF(Karakterlap!$F$8&gt;18,IF((Karakterlap!$F$8-IF(BG58&gt;18,BG58,18))&gt;0,Karakterlap!$F$8-IF(BG58&gt;18,BG58,18),0),0)+IF(Karakterlap!$F$9&gt;18,IF((Karakterlap!$F$9-IF(BH58&gt;18,BH58,18))&gt;0,Karakterlap!$F$9-IF(BH58&gt;18,BH58,18),0),0)+IF(Karakterlap!$F$10&gt;18,IF((Karakterlap!$F$10-IF(BI58&gt;18,BI58,18))&gt;0,Karakterlap!$F$10-IF(BI58&gt;18,BI58,18),0),0)+IF(Karakterlap!$F$11&gt;18,IF((Karakterlap!$F$11-IF(BJ58&gt;18,BJ58,18))&gt;0,Karakterlap!$F$11-IF(BJ58&gt;18,BJ58,18),0),0)+IF(Karakterlap!$F$12&gt;18,IF((Karakterlap!$F$12-IF(BK58&gt;18,BK58,18))&gt;0,Karakterlap!$F$12-IF(BK58&gt;18,BK58,18),0),0)</f>
        <v>#VALUE!</v>
      </c>
    </row>
    <row r="59" spans="12:65" x14ac:dyDescent="0.25">
      <c r="L59" t="s">
        <v>93</v>
      </c>
      <c r="M59" s="10">
        <v>0</v>
      </c>
      <c r="N59" s="10">
        <v>161</v>
      </c>
      <c r="O59" s="10">
        <v>331</v>
      </c>
      <c r="P59" s="10">
        <v>661</v>
      </c>
      <c r="Q59" s="10">
        <v>1301</v>
      </c>
      <c r="R59" s="10">
        <v>2601</v>
      </c>
      <c r="S59" s="10">
        <v>5001</v>
      </c>
      <c r="T59" s="10">
        <v>9001</v>
      </c>
      <c r="U59" s="10">
        <v>23001</v>
      </c>
      <c r="V59" s="10">
        <v>50001</v>
      </c>
      <c r="W59" s="10">
        <v>90001</v>
      </c>
      <c r="X59" s="10">
        <v>130001</v>
      </c>
      <c r="Y59">
        <f>IFERROR(IF(VLOOKUP(L59,Karakterlap!$P$3:$Z$4,10,FALSE)&gt;13,165001+((VLOOKUP(L59,Karakterlap!$P$3:$Z$4,10,FALSE)-13)*50000),165001),165001)</f>
        <v>165001</v>
      </c>
      <c r="Z59" s="10">
        <v>5</v>
      </c>
      <c r="AA59" s="10">
        <v>17</v>
      </c>
      <c r="AB59" s="10">
        <v>72</v>
      </c>
      <c r="AC59" s="10">
        <v>0</v>
      </c>
      <c r="AD59" s="10">
        <f>IFERROR(VLOOKUP(L59,Karakterlap!$P$3:$Z$4,10,FALSE)*8,8)</f>
        <v>8</v>
      </c>
      <c r="AE59" s="10">
        <f>IFERROR(IF(Karakterlap!$P$5="Váltott kaszt",IF(Karakterlap!$P$3=Adattábla!$L59,Karakterlap!$Y$3*3,IF(Karakterlap!$P$4=Adattábla!$L59,(Karakterlap!$Y$4-Adattábla!$I$20)*3,3)),VLOOKUP(Adattábla!$L59,Karakterlap!$P$3:$Z$4,10,FALSE)*3),3)</f>
        <v>3</v>
      </c>
      <c r="AF59" s="10">
        <f>IFERROR(IF(Karakterlap!$P$5="Váltott kaszt",IF(Karakterlap!$P$3=Adattábla!$L59,Karakterlap!$Y$3*3,IF(Karakterlap!$P$4=Adattábla!$L59,(Karakterlap!$Y$4-Adattábla!$I$20)*3,3)),VLOOKUP(Adattábla!$L59,Karakterlap!$P$3:$Z$4,10,FALSE)*3),3)</f>
        <v>3</v>
      </c>
      <c r="AG59" s="10">
        <v>3</v>
      </c>
      <c r="AH59" s="10">
        <f>IF(Karakterlap!$P$5="Iker kaszt",IF(Karakterlap!$P$3=L59,IFERROR((Karakterlap!$P$6*7)+(VLOOKUP(L59,Karakterlap!$P$3:$Z$4,10,FALSE)-Karakterlap!$P$6),7),IF(Karakterlap!$P$4=L59,VLOOKUP(L59,Karakterlap!$P$3:$Z$4,10,FALSE),7)),IF(Karakterlap!$P$5="Váltott kaszt",IF(L59=Karakterlap!$P$3,(Karakterlap!$Y$3+3)*7,VLOOKUP(L59,Karakterlap!$P$3:$Z$4,10,FALSE)*7),IFERROR(VLOOKUP(L59,Karakterlap!$P$3:$Z$4,10,FALSE)*7,7)))</f>
        <v>7</v>
      </c>
      <c r="AI59" s="10">
        <v>0</v>
      </c>
      <c r="AJ59" s="10">
        <v>6</v>
      </c>
      <c r="AK59" s="10">
        <v>6</v>
      </c>
      <c r="AL59" s="10">
        <f>IFERROR(VLOOKUP(L59,Karakterlap!$P$3:$Z$4,10,FALSE)*($E$18+2),$E$18+2)</f>
        <v>8</v>
      </c>
      <c r="AM59" s="10">
        <f>IFERROR(IF(VLOOKUP(L59,Karakterlap!$P$3:$Z$4,10,FALSE)&gt;1,9+((VLOOKUP(L59,Karakterlap!$P$3:$Z$4,10,FALSE)-1)*(($E$18)+3)),9),9)</f>
        <v>9</v>
      </c>
      <c r="AN59" t="s">
        <v>109</v>
      </c>
      <c r="AO59" t="str">
        <f>IFERROR((IF(Karakterlap!$F$9&gt;10,Karakterlap!$F$9-10,0))+5+((VLOOKUP(L59,Karakterlap!$P$3:$Z$4,10,FALSE)-1)*4),"más kaszt")</f>
        <v>más kaszt</v>
      </c>
      <c r="BA59">
        <f>IFERROR(IF(Karakterlap!$P$6&gt;13,165001+((Karakterlap!$P$6-13)*50000),165001),165001)</f>
        <v>165001</v>
      </c>
      <c r="BB59" s="40">
        <f>VLOOKUP("2k6+6",$I$2:$J$11,2,FALSE)+IFERROR(VLOOKUP(Karakterlap!$V$7,$A$24:$C$33,3,FALSE),0)</f>
        <v>13</v>
      </c>
      <c r="BC59" s="40">
        <f>VLOOKUP("2k6+6",$I$2:$J$11,2,FALSE)+IFERROR(VLOOKUP(Karakterlap!$V$7,$A$24:$D$33,4,FALSE),0)</f>
        <v>13</v>
      </c>
      <c r="BD59" s="40">
        <f>VLOOKUP("3k6(2x)",$I$2:$J$11,2,FALSE)+IFERROR(VLOOKUP(Karakterlap!$V$7,$A$24:$E$33,5,FALSE),0)</f>
        <v>11</v>
      </c>
      <c r="BE59" s="40">
        <f>VLOOKUP("3k6(2x)",$I$2:$J$11,2,FALSE)+IFERROR(VLOOKUP(Karakterlap!$V$7,$A$24:$F$33,6,FALSE),0)</f>
        <v>11</v>
      </c>
      <c r="BF59" s="40">
        <f>VLOOKUP("k10+8",$I$2:$J$11,2,FALSE)+IFERROR(VLOOKUP(Karakterlap!$V$7,$A$24:$G$33,7,FALSE),0)</f>
        <v>14</v>
      </c>
      <c r="BG59" s="40">
        <f>VLOOKUP("k10+10",$I$2:$J$11,2,FALSE)+IFERROR(VLOOKUP(Karakterlap!$V$7,$A$24:$H$33,8,FALSE),0)</f>
        <v>16</v>
      </c>
      <c r="BH59" s="40">
        <f>VLOOKUP("k10+8",$I$2:$J$11,2,FALSE)+IFERROR(VLOOKUP(Karakterlap!$V$7,$A$24:$I$33,9,FALSE),0)</f>
        <v>14</v>
      </c>
      <c r="BI59" s="40">
        <f t="shared" si="2"/>
        <v>14</v>
      </c>
      <c r="BJ59" s="40">
        <f>VLOOKUP("k6+12",$I$2:$J$11,2,FALSE)+IFERROR(VLOOKUP(Karakterlap!$V$7,$A$24:$J$33,10,FALSE),0)</f>
        <v>16</v>
      </c>
      <c r="BK59" s="40">
        <f t="shared" si="3"/>
        <v>14</v>
      </c>
      <c r="BL59" s="40">
        <f>IF((SUM(Karakterlap!$F$3:$F$12)-SUM(BB59:BK59))&lt;0,0,SUM(Karakterlap!$F$3:$F$12)-SUM(BB59:BK59))</f>
        <v>0</v>
      </c>
      <c r="BM59" t="e">
        <f>IF(Karakterlap!$F$3&gt;18,IF((Karakterlap!$F$3-IF(BB59&gt;18,BB59,18))&gt;0,Karakterlap!$F$3-IF(BB59&gt;18,BB59,18),0),0)+IF(Karakterlap!$F$4&gt;18,IF((Karakterlap!$F$4-IF(BC59&gt;18,BC59,18))&gt;0,Karakterlap!$F$4-IF(BC59&gt;18,BC59,18),0),0)+IF(Karakterlap!$F$5&gt;18,IF((Karakterlap!$F$5-IF(BD59&gt;18,BD59,18))&gt;0,Karakterlap!$F$5-IF(BD59&gt;18,BD59,18),0),0)+IF(Karakterlap!$F$6&gt;18,IF((Karakterlap!$F$6-IF(BE59&gt;18,BE59,18))&gt;0,Karakterlap!$F$6-IF(BE59&gt;18,BE59,18),0),0)+IF(Karakterlap!$F$7&gt;18,IF((Karakterlap!$F$7-IF(BF59&gt;18,BF59,18))&gt;0,Karakterlap!$F$7-IF(BF59&gt;18,BF59,18),0),0)+IF(Karakterlap!$F$8&gt;18,IF((Karakterlap!$F$8-IF(BG59&gt;18,BG59,18))&gt;0,Karakterlap!$F$8-IF(BG59&gt;18,BG59,18),0),0)+IF(Karakterlap!$F$9&gt;18,IF((Karakterlap!$F$9-IF(BH59&gt;18,BH59,18))&gt;0,Karakterlap!$F$9-IF(BH59&gt;18,BH59,18),0),0)+IF(Karakterlap!$F$10&gt;18,IF((Karakterlap!$F$10-IF(BI59&gt;18,BI59,18))&gt;0,Karakterlap!$F$10-IF(BI59&gt;18,BI59,18),0),0)+IF(Karakterlap!$F$11&gt;18,IF((Karakterlap!$F$11-IF(BJ59&gt;18,BJ59,18))&gt;0,Karakterlap!$F$11-IF(BJ59&gt;18,BJ59,18),0),0)+IF(Karakterlap!$F$12&gt;18,IF((Karakterlap!$F$12-IF(BK59&gt;18,BK59,18))&gt;0,Karakterlap!$F$12-IF(BK59&gt;18,BK59,18),0),0)</f>
        <v>#VALUE!</v>
      </c>
    </row>
    <row r="60" spans="12:65" x14ac:dyDescent="0.25">
      <c r="L60" t="s">
        <v>101</v>
      </c>
      <c r="M60" s="10">
        <v>0</v>
      </c>
      <c r="N60" s="10">
        <v>161</v>
      </c>
      <c r="O60" s="10">
        <v>331</v>
      </c>
      <c r="P60" s="10">
        <v>661</v>
      </c>
      <c r="Q60" s="10">
        <v>1301</v>
      </c>
      <c r="R60" s="10">
        <v>2601</v>
      </c>
      <c r="S60" s="10">
        <v>5001</v>
      </c>
      <c r="T60" s="10">
        <v>9001</v>
      </c>
      <c r="U60" s="10">
        <v>23001</v>
      </c>
      <c r="V60" s="10">
        <v>50001</v>
      </c>
      <c r="W60" s="10">
        <v>90001</v>
      </c>
      <c r="X60" s="10">
        <v>130001</v>
      </c>
      <c r="Y60">
        <f>IFERROR(IF(VLOOKUP(L60,Karakterlap!$P$3:$Z$4,10,FALSE)&gt;13,165001+((VLOOKUP(L60,Karakterlap!$P$3:$Z$4,10,FALSE)-13)*50000),165001),165001)</f>
        <v>165001</v>
      </c>
      <c r="Z60" s="10">
        <v>5</v>
      </c>
      <c r="AA60" s="10">
        <v>17</v>
      </c>
      <c r="AB60" s="10">
        <v>72</v>
      </c>
      <c r="AC60" s="10">
        <v>0</v>
      </c>
      <c r="AD60" s="10">
        <f>IFERROR(VLOOKUP(L60,Karakterlap!$P$3:$Z$4,10,FALSE)*8,8)</f>
        <v>8</v>
      </c>
      <c r="AE60" s="10">
        <f>IFERROR(IF(Karakterlap!$P$5="Váltott kaszt",IF(Karakterlap!$P$3=Adattábla!$L60,Karakterlap!$Y$3*3,IF(Karakterlap!$P$4=Adattábla!$L60,(Karakterlap!$Y$4-Adattábla!$I$20)*3,3)),VLOOKUP(Adattábla!$L60,Karakterlap!$P$3:$Z$4,10,FALSE)*3),3)</f>
        <v>3</v>
      </c>
      <c r="AF60" s="10">
        <f>IFERROR(IF(Karakterlap!$P$5="Váltott kaszt",IF(Karakterlap!$P$3=Adattábla!$L60,Karakterlap!$Y$3*3,IF(Karakterlap!$P$4=Adattábla!$L60,(Karakterlap!$Y$4-Adattábla!$I$20)*3,3)),VLOOKUP(Adattábla!$L60,Karakterlap!$P$3:$Z$4,10,FALSE)*3),3)</f>
        <v>3</v>
      </c>
      <c r="AG60" s="10">
        <v>6</v>
      </c>
      <c r="AH60" s="10">
        <f>IF(Karakterlap!$P$5="Iker kaszt",IF(Karakterlap!$P$3=L60,IFERROR((Karakterlap!$P$6*10)+(VLOOKUP(L60,Karakterlap!$P$3:$Z$4,10,FALSE)-Karakterlap!$P$6),10),IF(Karakterlap!$P$4=L60,VLOOKUP(L60,Karakterlap!$P$3:$Z$4,10,FALSE),10)),IF(Karakterlap!$P$5="Váltott kaszt",IF(L60=Karakterlap!$P$3,(Karakterlap!$Y$3+3)*10,VLOOKUP(L60,Karakterlap!$P$3:$Z$4,10,FALSE)*10),IFERROR(VLOOKUP(L60,Karakterlap!$P$3:$Z$4,10,FALSE)*10,10)))</f>
        <v>10</v>
      </c>
      <c r="AI60" s="10">
        <v>0</v>
      </c>
      <c r="AJ60" s="10">
        <v>6</v>
      </c>
      <c r="AK60" s="10">
        <v>6</v>
      </c>
      <c r="AL60" s="10">
        <f>IFERROR(VLOOKUP(L60,Karakterlap!$P$3:$Z$4,10,FALSE)*($E$18+2),$E$18+2)</f>
        <v>8</v>
      </c>
      <c r="AM60" s="10">
        <f>IFERROR(IF(VLOOKUP(L60,Karakterlap!$P$3:$Z$4,10,FALSE)&gt;1,9+((VLOOKUP(L60,Karakterlap!$P$3:$Z$4,10,FALSE)-1)*(($E$18)+3)),9),9)</f>
        <v>9</v>
      </c>
      <c r="AN60" t="s">
        <v>109</v>
      </c>
      <c r="AO60" t="str">
        <f>IFERROR((IF(Karakterlap!$F$9&gt;10,Karakterlap!$F$9-10,0))+5+((VLOOKUP(L60,Karakterlap!$P$3:$Z$4,10,FALSE)-1)*4),"más kaszt")</f>
        <v>más kaszt</v>
      </c>
      <c r="BA60">
        <f>IFERROR(IF(Karakterlap!$P$6&gt;13,165001+((Karakterlap!$P$6-13)*50000),165001),165001)</f>
        <v>165001</v>
      </c>
      <c r="BB60" s="40">
        <f>VLOOKUP("2k6+6",$I$2:$J$11,2,FALSE)+IFERROR(VLOOKUP(Karakterlap!$V$7,$A$24:$C$33,3,FALSE),0)</f>
        <v>13</v>
      </c>
      <c r="BC60" s="40">
        <f>VLOOKUP("2k6+6",$I$2:$J$11,2,FALSE)+IFERROR(VLOOKUP(Karakterlap!$V$7,$A$24:$D$33,4,FALSE),0)</f>
        <v>13</v>
      </c>
      <c r="BD60" s="40">
        <f>VLOOKUP("3k6(2x)",$I$2:$J$11,2,FALSE)+IFERROR(VLOOKUP(Karakterlap!$V$7,$A$24:$E$33,5,FALSE),0)</f>
        <v>11</v>
      </c>
      <c r="BE60" s="40">
        <f>VLOOKUP("3k6(2x)",$I$2:$J$11,2,FALSE)+IFERROR(VLOOKUP(Karakterlap!$V$7,$A$24:$F$33,6,FALSE),0)</f>
        <v>11</v>
      </c>
      <c r="BF60" s="40">
        <f>VLOOKUP("k10+8",$I$2:$J$11,2,FALSE)+IFERROR(VLOOKUP(Karakterlap!$V$7,$A$24:$G$33,7,FALSE),0)</f>
        <v>14</v>
      </c>
      <c r="BG60" s="40">
        <f>VLOOKUP("k10+10",$I$2:$J$11,2,FALSE)+IFERROR(VLOOKUP(Karakterlap!$V$7,$A$24:$H$33,8,FALSE),0)</f>
        <v>16</v>
      </c>
      <c r="BH60" s="40">
        <f>VLOOKUP("k10+8",$I$2:$J$11,2,FALSE)+IFERROR(VLOOKUP(Karakterlap!$V$7,$A$24:$I$33,9,FALSE),0)</f>
        <v>14</v>
      </c>
      <c r="BI60" s="40">
        <f t="shared" si="2"/>
        <v>14</v>
      </c>
      <c r="BJ60" s="40">
        <f>VLOOKUP("k6+12",$I$2:$J$11,2,FALSE)+IFERROR(VLOOKUP(Karakterlap!$V$7,$A$24:$J$33,10,FALSE),0)</f>
        <v>16</v>
      </c>
      <c r="BK60" s="40">
        <f t="shared" si="3"/>
        <v>14</v>
      </c>
      <c r="BL60" s="40">
        <f>IF((SUM(Karakterlap!$F$3:$F$12)-SUM(BB60:BK60))&lt;0,0,SUM(Karakterlap!$F$3:$F$12)-SUM(BB60:BK60))</f>
        <v>0</v>
      </c>
      <c r="BM60" t="e">
        <f>IF(Karakterlap!$F$3&gt;18,IF((Karakterlap!$F$3-IF(BB60&gt;18,BB60,18))&gt;0,Karakterlap!$F$3-IF(BB60&gt;18,BB60,18),0),0)+IF(Karakterlap!$F$4&gt;18,IF((Karakterlap!$F$4-IF(BC60&gt;18,BC60,18))&gt;0,Karakterlap!$F$4-IF(BC60&gt;18,BC60,18),0),0)+IF(Karakterlap!$F$5&gt;18,IF((Karakterlap!$F$5-IF(BD60&gt;18,BD60,18))&gt;0,Karakterlap!$F$5-IF(BD60&gt;18,BD60,18),0),0)+IF(Karakterlap!$F$6&gt;18,IF((Karakterlap!$F$6-IF(BE60&gt;18,BE60,18))&gt;0,Karakterlap!$F$6-IF(BE60&gt;18,BE60,18),0),0)+IF(Karakterlap!$F$7&gt;18,IF((Karakterlap!$F$7-IF(BF60&gt;18,BF60,18))&gt;0,Karakterlap!$F$7-IF(BF60&gt;18,BF60,18),0),0)+IF(Karakterlap!$F$8&gt;18,IF((Karakterlap!$F$8-IF(BG60&gt;18,BG60,18))&gt;0,Karakterlap!$F$8-IF(BG60&gt;18,BG60,18),0),0)+IF(Karakterlap!$F$9&gt;18,IF((Karakterlap!$F$9-IF(BH60&gt;18,BH60,18))&gt;0,Karakterlap!$F$9-IF(BH60&gt;18,BH60,18),0),0)+IF(Karakterlap!$F$10&gt;18,IF((Karakterlap!$F$10-IF(BI60&gt;18,BI60,18))&gt;0,Karakterlap!$F$10-IF(BI60&gt;18,BI60,18),0),0)+IF(Karakterlap!$F$11&gt;18,IF((Karakterlap!$F$11-IF(BJ60&gt;18,BJ60,18))&gt;0,Karakterlap!$F$11-IF(BJ60&gt;18,BJ60,18),0),0)+IF(Karakterlap!$F$12&gt;18,IF((Karakterlap!$F$12-IF(BK60&gt;18,BK60,18))&gt;0,Karakterlap!$F$12-IF(BK60&gt;18,BK60,18),0),0)</f>
        <v>#VALUE!</v>
      </c>
    </row>
    <row r="61" spans="12:65" x14ac:dyDescent="0.25">
      <c r="L61" t="s">
        <v>183</v>
      </c>
      <c r="M61" s="10">
        <v>0</v>
      </c>
      <c r="N61" s="10">
        <v>161</v>
      </c>
      <c r="O61" s="10">
        <v>331</v>
      </c>
      <c r="P61" s="10">
        <v>661</v>
      </c>
      <c r="Q61" s="10">
        <v>1301</v>
      </c>
      <c r="R61" s="10">
        <v>2601</v>
      </c>
      <c r="S61" s="10">
        <v>5001</v>
      </c>
      <c r="T61" s="10">
        <v>9001</v>
      </c>
      <c r="U61" s="10">
        <v>23001</v>
      </c>
      <c r="V61" s="10">
        <v>50001</v>
      </c>
      <c r="W61" s="10">
        <v>90001</v>
      </c>
      <c r="X61" s="10">
        <v>130001</v>
      </c>
      <c r="Y61">
        <f>IFERROR(IF(VLOOKUP(L61,Karakterlap!$P$3:$Z$4,10,FALSE)&gt;13,165001+((VLOOKUP(L61,Karakterlap!$P$3:$Z$4,10,FALSE)-13)*50000),165001),165001)</f>
        <v>165001</v>
      </c>
      <c r="Z61" s="10">
        <v>5</v>
      </c>
      <c r="AA61" s="10">
        <v>17</v>
      </c>
      <c r="AB61" s="10">
        <v>72</v>
      </c>
      <c r="AC61" s="10">
        <v>0</v>
      </c>
      <c r="AD61" s="10">
        <f>IFERROR(VLOOKUP(L61,Karakterlap!$P$3:$Z$4,10,FALSE)*8,8)</f>
        <v>8</v>
      </c>
      <c r="AE61" s="10">
        <f>IFERROR(IF(Karakterlap!$P$5="Váltott kaszt",IF(Karakterlap!$P$3=Adattábla!$L61,Karakterlap!$Y$3*3,IF(Karakterlap!$P$4=Adattábla!$L61,(Karakterlap!$Y$4-Adattábla!$I$20)*3,3)),VLOOKUP(Adattábla!$L61,Karakterlap!$P$3:$Z$4,10,FALSE)*3),3)</f>
        <v>3</v>
      </c>
      <c r="AF61" s="10">
        <f>IFERROR(IF(Karakterlap!$P$5="Váltott kaszt",IF(Karakterlap!$P$3=Adattábla!$L61,Karakterlap!$Y$3*3,IF(Karakterlap!$P$4=Adattábla!$L61,(Karakterlap!$Y$4-Adattábla!$I$20)*3,3)),VLOOKUP(Adattábla!$L61,Karakterlap!$P$3:$Z$4,10,FALSE)*3),3)</f>
        <v>3</v>
      </c>
      <c r="AG61" s="10">
        <v>6</v>
      </c>
      <c r="AH61" s="10">
        <f>IF(Karakterlap!$P$5="Iker kaszt",IF(Karakterlap!$P$3=L61,IFERROR((Karakterlap!$P$6*10)+(VLOOKUP(L61,Karakterlap!$P$3:$Z$4,10,FALSE)-Karakterlap!$P$6),10),IF(Karakterlap!$P$4=L61,VLOOKUP(L61,Karakterlap!$P$3:$Z$4,10,FALSE),10)),IF(Karakterlap!$P$5="Váltott kaszt",IF(L61=Karakterlap!$P$3,(Karakterlap!$Y$3+3)*10,VLOOKUP(L61,Karakterlap!$P$3:$Z$4,10,FALSE)*10),IFERROR(VLOOKUP(L61,Karakterlap!$P$3:$Z$4,10,FALSE)*10,10)))</f>
        <v>10</v>
      </c>
      <c r="AI61" s="10">
        <v>0</v>
      </c>
      <c r="AJ61" s="10">
        <v>6</v>
      </c>
      <c r="AK61" s="10">
        <v>6</v>
      </c>
      <c r="AL61" s="10">
        <f>IFERROR(VLOOKUP(L61,Karakterlap!$P$3:$Z$4,10,FALSE)*($E$18+2),$E$18+2)</f>
        <v>8</v>
      </c>
      <c r="AM61" s="10">
        <f>IFERROR(IF(VLOOKUP(L61,Karakterlap!$P$3:$Z$4,10,FALSE)&gt;1,9+((VLOOKUP(L61,Karakterlap!$P$3:$Z$4,10,FALSE)-1)*(($E$18)+3)),9),9)</f>
        <v>9</v>
      </c>
      <c r="AN61" t="s">
        <v>109</v>
      </c>
      <c r="AO61" t="str">
        <f>IFERROR((IF(Karakterlap!$F$9&gt;10,Karakterlap!$F$9-10,0))+5+((VLOOKUP(L61,Karakterlap!$P$3:$Z$4,10,FALSE)-1)*4),"más kaszt")</f>
        <v>más kaszt</v>
      </c>
      <c r="AY61" s="17">
        <v>35</v>
      </c>
      <c r="AZ61" s="17">
        <v>15</v>
      </c>
      <c r="BA61">
        <f>IFERROR(IF(Karakterlap!$P$6&gt;13,165001+((Karakterlap!$P$6-13)*50000),165001),165001)</f>
        <v>165001</v>
      </c>
      <c r="BB61" s="40">
        <f>VLOOKUP("2k6+6",$I$2:$J$11,2,FALSE)+IFERROR(VLOOKUP(Karakterlap!$V$7,$A$24:$C$33,3,FALSE),0)</f>
        <v>13</v>
      </c>
      <c r="BC61" s="40">
        <f>VLOOKUP("2k6+6",$I$2:$J$11,2,FALSE)+IFERROR(VLOOKUP(Karakterlap!$V$7,$A$24:$D$33,4,FALSE),0)</f>
        <v>13</v>
      </c>
      <c r="BD61" s="40">
        <f>VLOOKUP("3k6(2x)",$I$2:$J$11,2,FALSE)+IFERROR(VLOOKUP(Karakterlap!$V$7,$A$24:$E$33,5,FALSE),0)</f>
        <v>11</v>
      </c>
      <c r="BE61" s="40">
        <f>VLOOKUP("3k6(2x)",$I$2:$J$11,2,FALSE)+IFERROR(VLOOKUP(Karakterlap!$V$7,$A$24:$F$33,6,FALSE),0)</f>
        <v>11</v>
      </c>
      <c r="BF61" s="40">
        <f>VLOOKUP("k10+8",$I$2:$J$11,2,FALSE)+IFERROR(VLOOKUP(Karakterlap!$V$7,$A$24:$G$33,7,FALSE),0)</f>
        <v>14</v>
      </c>
      <c r="BG61" s="40">
        <f>VLOOKUP("k10+10",$I$2:$J$11,2,FALSE)+IFERROR(VLOOKUP(Karakterlap!$V$7,$A$24:$H$33,8,FALSE),0)</f>
        <v>16</v>
      </c>
      <c r="BH61" s="40">
        <f>VLOOKUP("k10+8",$I$2:$J$11,2,FALSE)+IFERROR(VLOOKUP(Karakterlap!$V$7,$A$24:$I$33,9,FALSE),0)</f>
        <v>14</v>
      </c>
      <c r="BI61" s="40">
        <f t="shared" si="2"/>
        <v>14</v>
      </c>
      <c r="BJ61" s="40">
        <f>VLOOKUP("k6+12",$I$2:$J$11,2,FALSE)+IFERROR(VLOOKUP(Karakterlap!$V$7,$A$24:$J$33,10,FALSE),0)</f>
        <v>16</v>
      </c>
      <c r="BK61" s="40">
        <f t="shared" si="3"/>
        <v>14</v>
      </c>
      <c r="BL61" s="40">
        <f>IF((SUM(Karakterlap!$F$3:$F$12)-SUM(BB61:BK61))&lt;0,0,SUM(Karakterlap!$F$3:$F$12)-SUM(BB61:BK61))</f>
        <v>0</v>
      </c>
      <c r="BM61" t="e">
        <f>IF(Karakterlap!$F$3&gt;18,IF((Karakterlap!$F$3-IF(BB61&gt;18,BB61,18))&gt;0,Karakterlap!$F$3-IF(BB61&gt;18,BB61,18),0),0)+IF(Karakterlap!$F$4&gt;18,IF((Karakterlap!$F$4-IF(BC61&gt;18,BC61,18))&gt;0,Karakterlap!$F$4-IF(BC61&gt;18,BC61,18),0),0)+IF(Karakterlap!$F$5&gt;18,IF((Karakterlap!$F$5-IF(BD61&gt;18,BD61,18))&gt;0,Karakterlap!$F$5-IF(BD61&gt;18,BD61,18),0),0)+IF(Karakterlap!$F$6&gt;18,IF((Karakterlap!$F$6-IF(BE61&gt;18,BE61,18))&gt;0,Karakterlap!$F$6-IF(BE61&gt;18,BE61,18),0),0)+IF(Karakterlap!$F$7&gt;18,IF((Karakterlap!$F$7-IF(BF61&gt;18,BF61,18))&gt;0,Karakterlap!$F$7-IF(BF61&gt;18,BF61,18),0),0)+IF(Karakterlap!$F$8&gt;18,IF((Karakterlap!$F$8-IF(BG61&gt;18,BG61,18))&gt;0,Karakterlap!$F$8-IF(BG61&gt;18,BG61,18),0),0)+IF(Karakterlap!$F$9&gt;18,IF((Karakterlap!$F$9-IF(BH61&gt;18,BH61,18))&gt;0,Karakterlap!$F$9-IF(BH61&gt;18,BH61,18),0),0)+IF(Karakterlap!$F$10&gt;18,IF((Karakterlap!$F$10-IF(BI61&gt;18,BI61,18))&gt;0,Karakterlap!$F$10-IF(BI61&gt;18,BI61,18),0),0)+IF(Karakterlap!$F$11&gt;18,IF((Karakterlap!$F$11-IF(BJ61&gt;18,BJ61,18))&gt;0,Karakterlap!$F$11-IF(BJ61&gt;18,BJ61,18),0),0)+IF(Karakterlap!$F$12&gt;18,IF((Karakterlap!$F$12-IF(BK61&gt;18,BK61,18))&gt;0,Karakterlap!$F$12-IF(BK61&gt;18,BK61,18),0),0)</f>
        <v>#VALUE!</v>
      </c>
    </row>
    <row r="62" spans="12:65" x14ac:dyDescent="0.25">
      <c r="L62" t="s">
        <v>184</v>
      </c>
      <c r="M62" s="10">
        <v>0</v>
      </c>
      <c r="N62" s="10">
        <v>161</v>
      </c>
      <c r="O62" s="10">
        <v>331</v>
      </c>
      <c r="P62" s="10">
        <v>661</v>
      </c>
      <c r="Q62" s="10">
        <v>1301</v>
      </c>
      <c r="R62" s="10">
        <v>2601</v>
      </c>
      <c r="S62" s="10">
        <v>5001</v>
      </c>
      <c r="T62" s="10">
        <v>9001</v>
      </c>
      <c r="U62" s="10">
        <v>23001</v>
      </c>
      <c r="V62" s="10">
        <v>50001</v>
      </c>
      <c r="W62" s="10">
        <v>90001</v>
      </c>
      <c r="X62" s="10">
        <v>130001</v>
      </c>
      <c r="Y62">
        <f>IFERROR(IF(VLOOKUP(L62,Karakterlap!$P$3:$Z$4,10,FALSE)&gt;13,165001+((VLOOKUP(L62,Karakterlap!$P$3:$Z$4,10,FALSE)-13)*50000),165001),165001)</f>
        <v>165001</v>
      </c>
      <c r="Z62" s="10">
        <v>5</v>
      </c>
      <c r="AA62" s="10">
        <v>17</v>
      </c>
      <c r="AB62" s="10">
        <v>72</v>
      </c>
      <c r="AC62" s="10">
        <v>0</v>
      </c>
      <c r="AD62" s="10">
        <f>IFERROR(VLOOKUP(L62,Karakterlap!$P$3:$Z$4,10,FALSE)*8,8)</f>
        <v>8</v>
      </c>
      <c r="AE62" s="10">
        <f>IFERROR(IF(Karakterlap!$P$5="Váltott kaszt",IF(Karakterlap!$P$3=Adattábla!$L62,Karakterlap!$Y$3*3,IF(Karakterlap!$P$4=Adattábla!$L62,(Karakterlap!$Y$4-Adattábla!$I$20)*3,3)),VLOOKUP(Adattábla!$L62,Karakterlap!$P$3:$Z$4,10,FALSE)*3),3)</f>
        <v>3</v>
      </c>
      <c r="AF62" s="10">
        <f>IFERROR(IF(Karakterlap!$P$5="Váltott kaszt",IF(Karakterlap!$P$3=Adattábla!$L62,Karakterlap!$Y$3*3,IF(Karakterlap!$P$4=Adattábla!$L62,(Karakterlap!$Y$4-Adattábla!$I$20)*3,3)),VLOOKUP(Adattábla!$L62,Karakterlap!$P$3:$Z$4,10,FALSE)*3),3)</f>
        <v>3</v>
      </c>
      <c r="AG62" s="10">
        <v>6</v>
      </c>
      <c r="AH62" s="10">
        <f>IF(Karakterlap!$P$5="Iker kaszt",IF(Karakterlap!$P$3=L62,IFERROR((Karakterlap!$P$6*10)+(VLOOKUP(L62,Karakterlap!$P$3:$Z$4,10,FALSE)-Karakterlap!$P$6),10),IF(Karakterlap!$P$4=L62,VLOOKUP(L62,Karakterlap!$P$3:$Z$4,10,FALSE),10)),IF(Karakterlap!$P$5="Váltott kaszt",IF(L62=Karakterlap!$P$3,(Karakterlap!$Y$3+3)*10,VLOOKUP(L62,Karakterlap!$P$3:$Z$4,10,FALSE)*10),IFERROR(VLOOKUP(L62,Karakterlap!$P$3:$Z$4,10,FALSE)*10,10)))</f>
        <v>10</v>
      </c>
      <c r="AI62" s="10">
        <v>0</v>
      </c>
      <c r="AJ62" s="10">
        <v>6</v>
      </c>
      <c r="AK62" s="10">
        <v>6</v>
      </c>
      <c r="AL62" s="10">
        <f>IFERROR(VLOOKUP(L62,Karakterlap!$P$3:$Z$4,10,FALSE)*($E$18+2),$E$18+2)</f>
        <v>8</v>
      </c>
      <c r="AM62" s="10">
        <f>IFERROR(IF(VLOOKUP(L62,Karakterlap!$P$3:$Z$4,10,FALSE)&gt;1,9+((VLOOKUP(L62,Karakterlap!$P$3:$Z$4,10,FALSE)-1)*(($E$18)+3)),9),9)</f>
        <v>9</v>
      </c>
      <c r="AN62" t="s">
        <v>109</v>
      </c>
      <c r="AO62" t="str">
        <f>IFERROR((IF(Karakterlap!$F$9&gt;10,Karakterlap!$F$9-10,0))+5+((VLOOKUP(L62,Karakterlap!$P$3:$Z$4,10,FALSE)-1)*4),"más kaszt")</f>
        <v>más kaszt</v>
      </c>
      <c r="BA62">
        <f>IFERROR(IF(Karakterlap!$P$6&gt;13,165001+((Karakterlap!$P$6-13)*50000),165001),165001)</f>
        <v>165001</v>
      </c>
      <c r="BB62" s="40">
        <f>VLOOKUP("2k6+6",$I$2:$J$11,2,FALSE)+IFERROR(VLOOKUP(Karakterlap!$V$7,$A$24:$C$33,3,FALSE),0)</f>
        <v>13</v>
      </c>
      <c r="BC62" s="40">
        <f>VLOOKUP("2k6+6",$I$2:$J$11,2,FALSE)+IFERROR(VLOOKUP(Karakterlap!$V$7,$A$24:$D$33,4,FALSE),0)</f>
        <v>13</v>
      </c>
      <c r="BD62" s="40">
        <f>VLOOKUP("3k6(2x)",$I$2:$J$11,2,FALSE)+IFERROR(VLOOKUP(Karakterlap!$V$7,$A$24:$E$33,5,FALSE),0)</f>
        <v>11</v>
      </c>
      <c r="BE62" s="40">
        <f>VLOOKUP("3k6(2x)",$I$2:$J$11,2,FALSE)+IFERROR(VLOOKUP(Karakterlap!$V$7,$A$24:$F$33,6,FALSE),0)</f>
        <v>11</v>
      </c>
      <c r="BF62" s="40">
        <f>VLOOKUP("k10+8",$I$2:$J$11,2,FALSE)+IFERROR(VLOOKUP(Karakterlap!$V$7,$A$24:$G$33,7,FALSE),0)</f>
        <v>14</v>
      </c>
      <c r="BG62" s="40">
        <f>VLOOKUP("k10+10",$I$2:$J$11,2,FALSE)+IFERROR(VLOOKUP(Karakterlap!$V$7,$A$24:$H$33,8,FALSE),0)</f>
        <v>16</v>
      </c>
      <c r="BH62" s="40">
        <f>VLOOKUP("k10+8",$I$2:$J$11,2,FALSE)+IFERROR(VLOOKUP(Karakterlap!$V$7,$A$24:$I$33,9,FALSE),0)</f>
        <v>14</v>
      </c>
      <c r="BI62" s="40">
        <f t="shared" si="2"/>
        <v>14</v>
      </c>
      <c r="BJ62" s="40">
        <f>VLOOKUP("k6+12",$I$2:$J$11,2,FALSE)+IFERROR(VLOOKUP(Karakterlap!$V$7,$A$24:$J$33,10,FALSE),0)</f>
        <v>16</v>
      </c>
      <c r="BK62" s="40">
        <f t="shared" si="3"/>
        <v>14</v>
      </c>
      <c r="BL62" s="40">
        <f>IF((SUM(Karakterlap!$F$3:$F$12)-SUM(BB62:BK62))&lt;0,0,SUM(Karakterlap!$F$3:$F$12)-SUM(BB62:BK62))</f>
        <v>0</v>
      </c>
      <c r="BM62" t="e">
        <f>IF(Karakterlap!$F$3&gt;18,IF((Karakterlap!$F$3-IF(BB62&gt;18,BB62,18))&gt;0,Karakterlap!$F$3-IF(BB62&gt;18,BB62,18),0),0)+IF(Karakterlap!$F$4&gt;18,IF((Karakterlap!$F$4-IF(BC62&gt;18,BC62,18))&gt;0,Karakterlap!$F$4-IF(BC62&gt;18,BC62,18),0),0)+IF(Karakterlap!$F$5&gt;18,IF((Karakterlap!$F$5-IF(BD62&gt;18,BD62,18))&gt;0,Karakterlap!$F$5-IF(BD62&gt;18,BD62,18),0),0)+IF(Karakterlap!$F$6&gt;18,IF((Karakterlap!$F$6-IF(BE62&gt;18,BE62,18))&gt;0,Karakterlap!$F$6-IF(BE62&gt;18,BE62,18),0),0)+IF(Karakterlap!$F$7&gt;18,IF((Karakterlap!$F$7-IF(BF62&gt;18,BF62,18))&gt;0,Karakterlap!$F$7-IF(BF62&gt;18,BF62,18),0),0)+IF(Karakterlap!$F$8&gt;18,IF((Karakterlap!$F$8-IF(BG62&gt;18,BG62,18))&gt;0,Karakterlap!$F$8-IF(BG62&gt;18,BG62,18),0),0)+IF(Karakterlap!$F$9&gt;18,IF((Karakterlap!$F$9-IF(BH62&gt;18,BH62,18))&gt;0,Karakterlap!$F$9-IF(BH62&gt;18,BH62,18),0),0)+IF(Karakterlap!$F$10&gt;18,IF((Karakterlap!$F$10-IF(BI62&gt;18,BI62,18))&gt;0,Karakterlap!$F$10-IF(BI62&gt;18,BI62,18),0),0)+IF(Karakterlap!$F$11&gt;18,IF((Karakterlap!$F$11-IF(BJ62&gt;18,BJ62,18))&gt;0,Karakterlap!$F$11-IF(BJ62&gt;18,BJ62,18),0),0)+IF(Karakterlap!$F$12&gt;18,IF((Karakterlap!$F$12-IF(BK62&gt;18,BK62,18))&gt;0,Karakterlap!$F$12-IF(BK62&gt;18,BK62,18),0),0)</f>
        <v>#VALUE!</v>
      </c>
    </row>
    <row r="63" spans="12:65" x14ac:dyDescent="0.25">
      <c r="L63" t="s">
        <v>94</v>
      </c>
      <c r="M63" s="10">
        <v>0</v>
      </c>
      <c r="N63" s="10">
        <v>161</v>
      </c>
      <c r="O63" s="10">
        <v>331</v>
      </c>
      <c r="P63" s="10">
        <v>661</v>
      </c>
      <c r="Q63" s="10">
        <v>1301</v>
      </c>
      <c r="R63" s="10">
        <v>2601</v>
      </c>
      <c r="S63" s="10">
        <v>5001</v>
      </c>
      <c r="T63" s="10">
        <v>9001</v>
      </c>
      <c r="U63" s="10">
        <v>23001</v>
      </c>
      <c r="V63" s="10">
        <v>50001</v>
      </c>
      <c r="W63" s="10">
        <v>90001</v>
      </c>
      <c r="X63" s="10">
        <v>130001</v>
      </c>
      <c r="Y63">
        <f>IFERROR(IF(VLOOKUP(L63,Karakterlap!$P$3:$Z$4,10,FALSE)&gt;13,165001+((VLOOKUP(L63,Karakterlap!$P$3:$Z$4,10,FALSE)-13)*50000),165001),165001)</f>
        <v>165001</v>
      </c>
      <c r="Z63" s="10">
        <v>5</v>
      </c>
      <c r="AA63" s="10">
        <v>17</v>
      </c>
      <c r="AB63" s="10">
        <v>72</v>
      </c>
      <c r="AC63" s="10">
        <v>0</v>
      </c>
      <c r="AD63" s="10">
        <f>IFERROR(VLOOKUP(L63,Karakterlap!$P$3:$Z$4,10,FALSE)*8,8)</f>
        <v>8</v>
      </c>
      <c r="AE63" s="10">
        <f>IFERROR(IF(Karakterlap!$P$5="Váltott kaszt",IF(Karakterlap!$P$3=Adattábla!$L63,Karakterlap!$Y$3*3,IF(Karakterlap!$P$4=Adattábla!$L63,(Karakterlap!$Y$4-Adattábla!$I$20)*3,3)),VLOOKUP(Adattábla!$L63,Karakterlap!$P$3:$Z$4,10,FALSE)*3),3)</f>
        <v>3</v>
      </c>
      <c r="AF63" s="10">
        <f>IFERROR(IF(Karakterlap!$P$5="Váltott kaszt",IF(Karakterlap!$P$3=Adattábla!$L63,Karakterlap!$Y$3*3,IF(Karakterlap!$P$4=Adattábla!$L63,(Karakterlap!$Y$4-Adattábla!$I$20)*3,3)),VLOOKUP(Adattábla!$L63,Karakterlap!$P$3:$Z$4,10,FALSE)*3),3)</f>
        <v>3</v>
      </c>
      <c r="AG63" s="10">
        <v>6</v>
      </c>
      <c r="AH63" s="10">
        <f>IF(Karakterlap!$P$5="Iker kaszt",IF(Karakterlap!$P$3=L63,IFERROR((Karakterlap!$P$6*10)+(VLOOKUP(L63,Karakterlap!$P$3:$Z$4,10,FALSE)-Karakterlap!$P$6),10),IF(Karakterlap!$P$4=L63,VLOOKUP(L63,Karakterlap!$P$3:$Z$4,10,FALSE),10)),IF(Karakterlap!$P$5="Váltott kaszt",IF(L63=Karakterlap!$P$3,(Karakterlap!$Y$3+3)*10,VLOOKUP(L63,Karakterlap!$P$3:$Z$4,10,FALSE)*10),IFERROR(VLOOKUP(L63,Karakterlap!$P$3:$Z$4,10,FALSE)*10,10)))</f>
        <v>10</v>
      </c>
      <c r="AI63" s="10">
        <v>0</v>
      </c>
      <c r="AJ63" s="10">
        <v>6</v>
      </c>
      <c r="AK63" s="10">
        <v>6</v>
      </c>
      <c r="AL63" s="10">
        <f>IFERROR(VLOOKUP(L63,Karakterlap!$P$3:$Z$4,10,FALSE)*($E$18+2),$E$18+2)</f>
        <v>8</v>
      </c>
      <c r="AM63" s="10">
        <f>IFERROR(IF(VLOOKUP(L63,Karakterlap!$P$3:$Z$4,10,FALSE)&gt;1,9+((VLOOKUP(L63,Karakterlap!$P$3:$Z$4,10,FALSE)-1)*(($E$18)+3)),9),9)</f>
        <v>9</v>
      </c>
      <c r="AN63" t="s">
        <v>109</v>
      </c>
      <c r="AO63" t="str">
        <f>IFERROR((IF(Karakterlap!$F$9&gt;10,Karakterlap!$F$9-10,0))+5+((VLOOKUP(L63,Karakterlap!$P$3:$Z$4,10,FALSE)-1)*4),"más kaszt")</f>
        <v>más kaszt</v>
      </c>
      <c r="AX63" s="17">
        <v>10</v>
      </c>
      <c r="AZ63" s="17">
        <v>10</v>
      </c>
      <c r="BA63">
        <f>IFERROR(IF(Karakterlap!$P$6&gt;13,165001+((Karakterlap!$P$6-13)*50000),165001),165001)</f>
        <v>165001</v>
      </c>
      <c r="BB63" s="40">
        <f>VLOOKUP("2k6+6",$I$2:$J$11,2,FALSE)+IFERROR(VLOOKUP(Karakterlap!$V$7,$A$24:$C$33,3,FALSE),0)</f>
        <v>13</v>
      </c>
      <c r="BC63" s="40">
        <f>VLOOKUP("2k6+6",$I$2:$J$11,2,FALSE)+IFERROR(VLOOKUP(Karakterlap!$V$7,$A$24:$D$33,4,FALSE),0)</f>
        <v>13</v>
      </c>
      <c r="BD63" s="40">
        <f>VLOOKUP("3k6(2x)",$I$2:$J$11,2,FALSE)+IFERROR(VLOOKUP(Karakterlap!$V$7,$A$24:$E$33,5,FALSE),0)</f>
        <v>11</v>
      </c>
      <c r="BE63" s="40">
        <f>VLOOKUP("3k6(2x)",$I$2:$J$11,2,FALSE)+IFERROR(VLOOKUP(Karakterlap!$V$7,$A$24:$F$33,6,FALSE),0)</f>
        <v>11</v>
      </c>
      <c r="BF63" s="40">
        <f>VLOOKUP("k10+8",$I$2:$J$11,2,FALSE)+IFERROR(VLOOKUP(Karakterlap!$V$7,$A$24:$G$33,7,FALSE),0)</f>
        <v>14</v>
      </c>
      <c r="BG63" s="40">
        <f>VLOOKUP("k10+10",$I$2:$J$11,2,FALSE)+IFERROR(VLOOKUP(Karakterlap!$V$7,$A$24:$H$33,8,FALSE),0)</f>
        <v>16</v>
      </c>
      <c r="BH63" s="40">
        <f>VLOOKUP("k10+8",$I$2:$J$11,2,FALSE)+IFERROR(VLOOKUP(Karakterlap!$V$7,$A$24:$I$33,9,FALSE),0)</f>
        <v>14</v>
      </c>
      <c r="BI63" s="40">
        <f t="shared" si="2"/>
        <v>14</v>
      </c>
      <c r="BJ63" s="40">
        <f>VLOOKUP("k6+12",$I$2:$J$11,2,FALSE)+IFERROR(VLOOKUP(Karakterlap!$V$7,$A$24:$J$33,10,FALSE),0)</f>
        <v>16</v>
      </c>
      <c r="BK63" s="40">
        <f t="shared" si="3"/>
        <v>14</v>
      </c>
      <c r="BL63" s="40">
        <f>IF((SUM(Karakterlap!$F$3:$F$12)-SUM(BB63:BK63))&lt;0,0,SUM(Karakterlap!$F$3:$F$12)-SUM(BB63:BK63))</f>
        <v>0</v>
      </c>
      <c r="BM63" t="e">
        <f>IF(Karakterlap!$F$3&gt;18,IF((Karakterlap!$F$3-IF(BB63&gt;18,BB63,18))&gt;0,Karakterlap!$F$3-IF(BB63&gt;18,BB63,18),0),0)+IF(Karakterlap!$F$4&gt;18,IF((Karakterlap!$F$4-IF(BC63&gt;18,BC63,18))&gt;0,Karakterlap!$F$4-IF(BC63&gt;18,BC63,18),0),0)+IF(Karakterlap!$F$5&gt;18,IF((Karakterlap!$F$5-IF(BD63&gt;18,BD63,18))&gt;0,Karakterlap!$F$5-IF(BD63&gt;18,BD63,18),0),0)+IF(Karakterlap!$F$6&gt;18,IF((Karakterlap!$F$6-IF(BE63&gt;18,BE63,18))&gt;0,Karakterlap!$F$6-IF(BE63&gt;18,BE63,18),0),0)+IF(Karakterlap!$F$7&gt;18,IF((Karakterlap!$F$7-IF(BF63&gt;18,BF63,18))&gt;0,Karakterlap!$F$7-IF(BF63&gt;18,BF63,18),0),0)+IF(Karakterlap!$F$8&gt;18,IF((Karakterlap!$F$8-IF(BG63&gt;18,BG63,18))&gt;0,Karakterlap!$F$8-IF(BG63&gt;18,BG63,18),0),0)+IF(Karakterlap!$F$9&gt;18,IF((Karakterlap!$F$9-IF(BH63&gt;18,BH63,18))&gt;0,Karakterlap!$F$9-IF(BH63&gt;18,BH63,18),0),0)+IF(Karakterlap!$F$10&gt;18,IF((Karakterlap!$F$10-IF(BI63&gt;18,BI63,18))&gt;0,Karakterlap!$F$10-IF(BI63&gt;18,BI63,18),0),0)+IF(Karakterlap!$F$11&gt;18,IF((Karakterlap!$F$11-IF(BJ63&gt;18,BJ63,18))&gt;0,Karakterlap!$F$11-IF(BJ63&gt;18,BJ63,18),0),0)+IF(Karakterlap!$F$12&gt;18,IF((Karakterlap!$F$12-IF(BK63&gt;18,BK63,18))&gt;0,Karakterlap!$F$12-IF(BK63&gt;18,BK63,18),0),0)</f>
        <v>#VALUE!</v>
      </c>
    </row>
    <row r="64" spans="12:65" x14ac:dyDescent="0.25">
      <c r="L64" t="s">
        <v>95</v>
      </c>
      <c r="M64" s="10">
        <v>0</v>
      </c>
      <c r="N64" s="10">
        <v>161</v>
      </c>
      <c r="O64" s="10">
        <v>331</v>
      </c>
      <c r="P64" s="10">
        <v>661</v>
      </c>
      <c r="Q64" s="10">
        <v>1301</v>
      </c>
      <c r="R64" s="10">
        <v>2601</v>
      </c>
      <c r="S64" s="10">
        <v>5001</v>
      </c>
      <c r="T64" s="10">
        <v>9001</v>
      </c>
      <c r="U64" s="10">
        <v>23001</v>
      </c>
      <c r="V64" s="10">
        <v>50001</v>
      </c>
      <c r="W64" s="10">
        <v>90001</v>
      </c>
      <c r="X64" s="10">
        <v>130001</v>
      </c>
      <c r="Y64">
        <f>IFERROR(IF(VLOOKUP(L64,Karakterlap!$P$3:$Z$4,10,FALSE)&gt;13,165001+((VLOOKUP(L64,Karakterlap!$P$3:$Z$4,10,FALSE)-13)*50000),165001),165001)</f>
        <v>165001</v>
      </c>
      <c r="Z64" s="10">
        <v>5</v>
      </c>
      <c r="AA64" s="10">
        <v>20</v>
      </c>
      <c r="AB64" s="10">
        <v>75</v>
      </c>
      <c r="AC64" s="10">
        <v>0</v>
      </c>
      <c r="AD64" s="10">
        <f>IFERROR(VLOOKUP(L64,Karakterlap!$P$3:$Z$4,10,FALSE)*8,8)</f>
        <v>8</v>
      </c>
      <c r="AE64" s="10">
        <f>IFERROR(IF(Karakterlap!$P$5="Váltott kaszt",IF(Karakterlap!$P$3=Adattábla!$L64,Karakterlap!$Y$3*3,IF(Karakterlap!$P$4=Adattábla!$L64,(Karakterlap!$Y$4-Adattábla!$I$20)*3,3)),VLOOKUP(Adattábla!$L64,Karakterlap!$P$3:$Z$4,10,FALSE)*3),3)</f>
        <v>3</v>
      </c>
      <c r="AF64" s="10">
        <f>IFERROR(IF(Karakterlap!$P$5="Váltott kaszt",IF(Karakterlap!$P$3=Adattábla!$L64,Karakterlap!$Y$3*3,IF(Karakterlap!$P$4=Adattábla!$L64,(Karakterlap!$Y$4-Adattábla!$I$20)*3,3)),VLOOKUP(Adattábla!$L64,Karakterlap!$P$3:$Z$4,10,FALSE)*3),3)</f>
        <v>3</v>
      </c>
      <c r="AG64" s="10">
        <v>6</v>
      </c>
      <c r="AH64" s="10">
        <f>IF(Karakterlap!$P$5="Iker kaszt",IF(Karakterlap!$P$3=L64,IFERROR((Karakterlap!$P$6*10)+(VLOOKUP(L64,Karakterlap!$P$3:$Z$4,10,FALSE)-Karakterlap!$P$6),10),IF(Karakterlap!$P$4=L64,VLOOKUP(L64,Karakterlap!$P$3:$Z$4,10,FALSE),10)),IF(Karakterlap!$P$5="Váltott kaszt",IF(L64=Karakterlap!$P$3,(Karakterlap!$Y$3+3)*10,VLOOKUP(L64,Karakterlap!$P$3:$Z$4,10,FALSE)*10),IFERROR(VLOOKUP(L64,Karakterlap!$P$3:$Z$4,10,FALSE)*10,10)))</f>
        <v>10</v>
      </c>
      <c r="AI64" s="10">
        <v>0</v>
      </c>
      <c r="AJ64" s="10">
        <v>6</v>
      </c>
      <c r="AK64" s="10">
        <v>6</v>
      </c>
      <c r="AL64" s="10">
        <f>IFERROR(VLOOKUP(L64,Karakterlap!$P$3:$Z$4,10,FALSE)*($E$18+2),$E$18+2)</f>
        <v>8</v>
      </c>
      <c r="AM64" s="10">
        <f>IFERROR(IF(VLOOKUP(L64,Karakterlap!$P$3:$Z$4,10,FALSE)&gt;1,9+((VLOOKUP(L64,Karakterlap!$P$3:$Z$4,10,FALSE)-1)*(($E$18)+3)),9),9)</f>
        <v>9</v>
      </c>
      <c r="AN64" t="s">
        <v>109</v>
      </c>
      <c r="AO64" t="str">
        <f>IFERROR((IF(Karakterlap!$F$9&gt;10,Karakterlap!$F$9-10,0))+5+((VLOOKUP(L64,Karakterlap!$P$3:$Z$4,10,FALSE)-1)*4),"más kaszt")</f>
        <v>más kaszt</v>
      </c>
      <c r="AR64" s="17">
        <v>15</v>
      </c>
      <c r="BA64">
        <f>IFERROR(IF(Karakterlap!$P$6&gt;13,165001+((Karakterlap!$P$6-13)*50000),165001),165001)</f>
        <v>165001</v>
      </c>
      <c r="BB64" s="40">
        <f>VLOOKUP("2k6+6",$I$2:$J$11,2,FALSE)+IFERROR(VLOOKUP(Karakterlap!$V$7,$A$24:$C$33,3,FALSE),0)</f>
        <v>13</v>
      </c>
      <c r="BC64" s="40">
        <f>VLOOKUP("2k6+6",$I$2:$J$11,2,FALSE)+IFERROR(VLOOKUP(Karakterlap!$V$7,$A$24:$D$33,4,FALSE),0)</f>
        <v>13</v>
      </c>
      <c r="BD64" s="40">
        <f>VLOOKUP("3k6(2x)",$I$2:$J$11,2,FALSE)+IFERROR(VLOOKUP(Karakterlap!$V$7,$A$24:$E$33,5,FALSE),0)</f>
        <v>11</v>
      </c>
      <c r="BE64" s="40">
        <f>VLOOKUP("3k6(2x)",$I$2:$J$11,2,FALSE)+IFERROR(VLOOKUP(Karakterlap!$V$7,$A$24:$F$33,6,FALSE),0)</f>
        <v>11</v>
      </c>
      <c r="BF64" s="40">
        <f>VLOOKUP("k10+8",$I$2:$J$11,2,FALSE)+IFERROR(VLOOKUP(Karakterlap!$V$7,$A$24:$G$33,7,FALSE),0)</f>
        <v>14</v>
      </c>
      <c r="BG64" s="40">
        <f>VLOOKUP("k10+10",$I$2:$J$11,2,FALSE)+IFERROR(VLOOKUP(Karakterlap!$V$7,$A$24:$H$33,8,FALSE),0)</f>
        <v>16</v>
      </c>
      <c r="BH64" s="40">
        <f>VLOOKUP("k10+8",$I$2:$J$11,2,FALSE)+IFERROR(VLOOKUP(Karakterlap!$V$7,$A$24:$I$33,9,FALSE),0)</f>
        <v>14</v>
      </c>
      <c r="BI64" s="40">
        <f t="shared" si="2"/>
        <v>14</v>
      </c>
      <c r="BJ64" s="40">
        <f>VLOOKUP("k6+12",$I$2:$J$11,2,FALSE)+IFERROR(VLOOKUP(Karakterlap!$V$7,$A$24:$J$33,10,FALSE),0)</f>
        <v>16</v>
      </c>
      <c r="BK64" s="40">
        <f t="shared" si="3"/>
        <v>14</v>
      </c>
      <c r="BL64" s="40">
        <f>IF((SUM(Karakterlap!$F$3:$F$12)-SUM(BB64:BK64))&lt;0,0,SUM(Karakterlap!$F$3:$F$12)-SUM(BB64:BK64))</f>
        <v>0</v>
      </c>
      <c r="BM64" t="e">
        <f>IF(Karakterlap!$F$3&gt;18,IF((Karakterlap!$F$3-IF(BB64&gt;18,BB64,18))&gt;0,Karakterlap!$F$3-IF(BB64&gt;18,BB64,18),0),0)+IF(Karakterlap!$F$4&gt;18,IF((Karakterlap!$F$4-IF(BC64&gt;18,BC64,18))&gt;0,Karakterlap!$F$4-IF(BC64&gt;18,BC64,18),0),0)+IF(Karakterlap!$F$5&gt;18,IF((Karakterlap!$F$5-IF(BD64&gt;18,BD64,18))&gt;0,Karakterlap!$F$5-IF(BD64&gt;18,BD64,18),0),0)+IF(Karakterlap!$F$6&gt;18,IF((Karakterlap!$F$6-IF(BE64&gt;18,BE64,18))&gt;0,Karakterlap!$F$6-IF(BE64&gt;18,BE64,18),0),0)+IF(Karakterlap!$F$7&gt;18,IF((Karakterlap!$F$7-IF(BF64&gt;18,BF64,18))&gt;0,Karakterlap!$F$7-IF(BF64&gt;18,BF64,18),0),0)+IF(Karakterlap!$F$8&gt;18,IF((Karakterlap!$F$8-IF(BG64&gt;18,BG64,18))&gt;0,Karakterlap!$F$8-IF(BG64&gt;18,BG64,18),0),0)+IF(Karakterlap!$F$9&gt;18,IF((Karakterlap!$F$9-IF(BH64&gt;18,BH64,18))&gt;0,Karakterlap!$F$9-IF(BH64&gt;18,BH64,18),0),0)+IF(Karakterlap!$F$10&gt;18,IF((Karakterlap!$F$10-IF(BI64&gt;18,BI64,18))&gt;0,Karakterlap!$F$10-IF(BI64&gt;18,BI64,18),0),0)+IF(Karakterlap!$F$11&gt;18,IF((Karakterlap!$F$11-IF(BJ64&gt;18,BJ64,18))&gt;0,Karakterlap!$F$11-IF(BJ64&gt;18,BJ64,18),0),0)+IF(Karakterlap!$F$12&gt;18,IF((Karakterlap!$F$12-IF(BK64&gt;18,BK64,18))&gt;0,Karakterlap!$F$12-IF(BK64&gt;18,BK64,18),0),0)</f>
        <v>#VALUE!</v>
      </c>
    </row>
    <row r="65" spans="12:65" x14ac:dyDescent="0.25">
      <c r="L65" s="10" t="s">
        <v>174</v>
      </c>
      <c r="M65" s="10">
        <v>0</v>
      </c>
      <c r="N65" s="10">
        <v>161</v>
      </c>
      <c r="O65" s="10">
        <v>331</v>
      </c>
      <c r="P65" s="10">
        <v>661</v>
      </c>
      <c r="Q65" s="10">
        <v>1301</v>
      </c>
      <c r="R65" s="10">
        <v>2601</v>
      </c>
      <c r="S65" s="10">
        <v>5001</v>
      </c>
      <c r="T65" s="10">
        <v>9001</v>
      </c>
      <c r="U65" s="10">
        <v>23001</v>
      </c>
      <c r="V65" s="10">
        <v>50001</v>
      </c>
      <c r="W65" s="10">
        <v>90001</v>
      </c>
      <c r="X65" s="10">
        <v>130001</v>
      </c>
      <c r="Y65" s="10">
        <f>IFERROR(IF(VLOOKUP(L65,Karakterlap!$P$3:$Z$4,10,FALSE)&gt;13,165001+((VLOOKUP(L65,Karakterlap!$P$3:$Z$4,10,FALSE)-13)*50000),165001),165001)</f>
        <v>165001</v>
      </c>
      <c r="Z65" s="10">
        <v>5</v>
      </c>
      <c r="AA65" s="10">
        <v>17</v>
      </c>
      <c r="AB65" s="10">
        <v>72</v>
      </c>
      <c r="AC65" s="10">
        <v>0</v>
      </c>
      <c r="AD65" s="10">
        <f>IFERROR(VLOOKUP(L65,Karakterlap!$P$3:$Z$4,10,FALSE)*8,8)</f>
        <v>8</v>
      </c>
      <c r="AE65" s="10">
        <f>IFERROR(IF(Karakterlap!$P$5="Váltott kaszt",IF(Karakterlap!$P$3=Adattábla!$L65,Karakterlap!$Y$3*3,IF(Karakterlap!$P$4=Adattábla!$L65,(Karakterlap!$Y$4-Adattábla!$I$20)*3,3)),VLOOKUP(Adattábla!$L65,Karakterlap!$P$3:$Z$4,10,FALSE)*3),3)</f>
        <v>3</v>
      </c>
      <c r="AF65" s="10">
        <f>IFERROR(IF(Karakterlap!$P$5="Váltott kaszt",IF(Karakterlap!$P$3=Adattábla!$L65,Karakterlap!$Y$3*3,IF(Karakterlap!$P$4=Adattábla!$L65,(Karakterlap!$Y$4-Adattábla!$I$20)*3,3)),VLOOKUP(Adattábla!$L65,Karakterlap!$P$3:$Z$4,10,FALSE)*3),3)</f>
        <v>3</v>
      </c>
      <c r="AG65" s="10">
        <v>6</v>
      </c>
      <c r="AH65" s="10">
        <f>IF(Karakterlap!$P$5="Iker kaszt",IF(Karakterlap!$P$3=L65,IFERROR((Karakterlap!$P$6*10)+(VLOOKUP(L65,Karakterlap!$P$3:$Z$4,10,FALSE)-Karakterlap!$P$6),10),IF(Karakterlap!$P$4=L65,VLOOKUP(L65,Karakterlap!$P$3:$Z$4,10,FALSE),10)),IF(Karakterlap!$P$5="Váltott kaszt",IF(L65=Karakterlap!$P$3,(Karakterlap!$Y$3+3)*10,VLOOKUP(L65,Karakterlap!$P$3:$Z$4,10,FALSE)*10),IFERROR(VLOOKUP(L65,Karakterlap!$P$3:$Z$4,10,FALSE)*10,10)))</f>
        <v>10</v>
      </c>
      <c r="AI65" s="10">
        <v>0</v>
      </c>
      <c r="AJ65" s="10">
        <v>6</v>
      </c>
      <c r="AK65" s="10">
        <v>6</v>
      </c>
      <c r="AL65" s="10">
        <f>IFERROR(VLOOKUP(L65,Karakterlap!$P$3:$Z$4,10,FALSE)*($E$18+2),$E$18+2)</f>
        <v>8</v>
      </c>
      <c r="AM65" s="10">
        <f>IFERROR(IF(VLOOKUP(L65,Karakterlap!$P$3:$Z$4,10,FALSE)&gt;1,9+((VLOOKUP(L65,Karakterlap!$P$3:$Z$4,10,FALSE)-1)*(($E$18)+3)),9),9)</f>
        <v>9</v>
      </c>
      <c r="AN65" s="10" t="s">
        <v>109</v>
      </c>
      <c r="AO65" s="10" t="str">
        <f>IFERROR((IF(Karakterlap!$F$9&gt;10,Karakterlap!$F$9-10,0))+5+((VLOOKUP(L57,Karakterlap!$P$3:$Z$4,10,FALSE)-1)*4),"más kaszt")</f>
        <v>más kaszt</v>
      </c>
      <c r="AP65" s="10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10">
        <f>IFERROR(IF(Karakterlap!$P$6&gt;13,165001+((Karakterlap!$P$6-13)*50000),165001),165001)</f>
        <v>165001</v>
      </c>
      <c r="BB65" s="40">
        <f>VLOOKUP("2k6+6",$I$2:$J$11,2,FALSE)+IFERROR(VLOOKUP(Karakterlap!$V$7,$A$24:$C$33,3,FALSE),0)</f>
        <v>13</v>
      </c>
      <c r="BC65" s="40">
        <f>VLOOKUP("2k6+6",$I$2:$J$11,2,FALSE)+IFERROR(VLOOKUP(Karakterlap!$V$7,$A$24:$D$33,4,FALSE),0)</f>
        <v>13</v>
      </c>
      <c r="BD65" s="40">
        <f>VLOOKUP("3k6(2x)",$I$2:$J$11,2,FALSE)+IFERROR(VLOOKUP(Karakterlap!$V$7,$A$24:$E$33,5,FALSE),0)</f>
        <v>11</v>
      </c>
      <c r="BE65" s="40">
        <f>VLOOKUP("3k6(2x)",$I$2:$J$11,2,FALSE)+IFERROR(VLOOKUP(Karakterlap!$V$7,$A$24:$F$33,6,FALSE),0)</f>
        <v>11</v>
      </c>
      <c r="BF65" s="40">
        <f>VLOOKUP("k10+8",$I$2:$J$11,2,FALSE)+IFERROR(VLOOKUP(Karakterlap!$V$7,$A$24:$G$33,7,FALSE),0)</f>
        <v>14</v>
      </c>
      <c r="BG65" s="40">
        <f>VLOOKUP("k10+10",$I$2:$J$11,2,FALSE)+IFERROR(VLOOKUP(Karakterlap!$V$7,$A$24:$H$33,8,FALSE),0)</f>
        <v>16</v>
      </c>
      <c r="BH65" s="40">
        <f>VLOOKUP("k10+8",$I$2:$J$11,2,FALSE)+IFERROR(VLOOKUP(Karakterlap!$V$7,$A$24:$I$33,9,FALSE),0)</f>
        <v>14</v>
      </c>
      <c r="BI65" s="40">
        <f t="shared" si="2"/>
        <v>14</v>
      </c>
      <c r="BJ65" s="40">
        <f>VLOOKUP("k6+12",$I$2:$J$11,2,FALSE)+IFERROR(VLOOKUP(Karakterlap!$V$7,$A$24:$J$33,10,FALSE),0)</f>
        <v>16</v>
      </c>
      <c r="BK65" s="40">
        <f t="shared" si="3"/>
        <v>14</v>
      </c>
      <c r="BL65" s="40">
        <f>IF((SUM(Karakterlap!$F$3:$F$12)-SUM(BB65:BK65))&lt;0,0,SUM(Karakterlap!$F$3:$F$12)-SUM(BB65:BK65))</f>
        <v>0</v>
      </c>
      <c r="BM65" t="e">
        <f>IF(Karakterlap!$F$3&gt;18,IF((Karakterlap!$F$3-IF(BB65&gt;18,BB65,18))&gt;0,Karakterlap!$F$3-IF(BB65&gt;18,BB65,18),0),0)+IF(Karakterlap!$F$4&gt;18,IF((Karakterlap!$F$4-IF(BC65&gt;18,BC65,18))&gt;0,Karakterlap!$F$4-IF(BC65&gt;18,BC65,18),0),0)+IF(Karakterlap!$F$5&gt;18,IF((Karakterlap!$F$5-IF(BD65&gt;18,BD65,18))&gt;0,Karakterlap!$F$5-IF(BD65&gt;18,BD65,18),0),0)+IF(Karakterlap!$F$6&gt;18,IF((Karakterlap!$F$6-IF(BE65&gt;18,BE65,18))&gt;0,Karakterlap!$F$6-IF(BE65&gt;18,BE65,18),0),0)+IF(Karakterlap!$F$7&gt;18,IF((Karakterlap!$F$7-IF(BF65&gt;18,BF65,18))&gt;0,Karakterlap!$F$7-IF(BF65&gt;18,BF65,18),0),0)+IF(Karakterlap!$F$8&gt;18,IF((Karakterlap!$F$8-IF(BG65&gt;18,BG65,18))&gt;0,Karakterlap!$F$8-IF(BG65&gt;18,BG65,18),0),0)+IF(Karakterlap!$F$9&gt;18,IF((Karakterlap!$F$9-IF(BH65&gt;18,BH65,18))&gt;0,Karakterlap!$F$9-IF(BH65&gt;18,BH65,18),0),0)+IF(Karakterlap!$F$10&gt;18,IF((Karakterlap!$F$10-IF(BI65&gt;18,BI65,18))&gt;0,Karakterlap!$F$10-IF(BI65&gt;18,BI65,18),0),0)+IF(Karakterlap!$F$11&gt;18,IF((Karakterlap!$F$11-IF(BJ65&gt;18,BJ65,18))&gt;0,Karakterlap!$F$11-IF(BJ65&gt;18,BJ65,18),0),0)+IF(Karakterlap!$F$12&gt;18,IF((Karakterlap!$F$12-IF(BK65&gt;18,BK65,18))&gt;0,Karakterlap!$F$12-IF(BK65&gt;18,BK65,18),0),0)</f>
        <v>#VALUE!</v>
      </c>
    </row>
    <row r="66" spans="12:65" x14ac:dyDescent="0.25">
      <c r="L66" s="10" t="s">
        <v>96</v>
      </c>
      <c r="M66" s="10">
        <v>0</v>
      </c>
      <c r="N66" s="10">
        <v>161</v>
      </c>
      <c r="O66" s="10">
        <v>331</v>
      </c>
      <c r="P66" s="10">
        <v>661</v>
      </c>
      <c r="Q66" s="10">
        <v>1301</v>
      </c>
      <c r="R66" s="10">
        <v>2601</v>
      </c>
      <c r="S66" s="10">
        <v>5001</v>
      </c>
      <c r="T66" s="10">
        <v>9001</v>
      </c>
      <c r="U66" s="10">
        <v>23001</v>
      </c>
      <c r="V66" s="10">
        <v>50001</v>
      </c>
      <c r="W66" s="10">
        <v>90001</v>
      </c>
      <c r="X66" s="10">
        <v>130001</v>
      </c>
      <c r="Y66">
        <f>IFERROR(IF(VLOOKUP(L66,Karakterlap!$P$3:$Z$4,10,FALSE)&gt;13,165001+((VLOOKUP(L66,Karakterlap!$P$3:$Z$4,10,FALSE)-13)*50000),165001),165001)</f>
        <v>165001</v>
      </c>
      <c r="Z66" s="10">
        <v>5</v>
      </c>
      <c r="AA66" s="10">
        <v>16</v>
      </c>
      <c r="AB66" s="10">
        <v>72</v>
      </c>
      <c r="AC66" s="10">
        <v>0</v>
      </c>
      <c r="AD66" s="10">
        <f>IFERROR(VLOOKUP(L66,Karakterlap!$P$3:$Z$4,10,FALSE)*8,8)</f>
        <v>8</v>
      </c>
      <c r="AE66" s="10">
        <v>0</v>
      </c>
      <c r="AF66" s="10">
        <f>IFERROR(IF(Karakterlap!$P$5="Váltott kaszt",IF(Karakterlap!$P$3=Adattábla!$L66,Karakterlap!$Y$3*3,IF(Karakterlap!$P$4=Adattábla!$L66,(Karakterlap!$Y$4-Adattábla!$I$20)*3,3)),VLOOKUP(Adattábla!$L66,Karakterlap!$P$3:$Z$4,10,FALSE)*3),3)</f>
        <v>3</v>
      </c>
      <c r="AG66" s="10">
        <v>8</v>
      </c>
      <c r="AH66" s="10">
        <f>IF(Karakterlap!$P$5="Iker kaszt",IF(Karakterlap!$P$3=L66,IFERROR((Karakterlap!$P$6*8)+(VLOOKUP(L66,Karakterlap!$P$3:$Z$4,10,FALSE)-Karakterlap!$P$6),8),IF(Karakterlap!$P$4=L66,VLOOKUP(L66,Karakterlap!$P$3:$Z$4,10,FALSE),8)),IF(Karakterlap!$P$5="Váltott kaszt",IF(L66=Karakterlap!$P$3,(Karakterlap!$Y$3+3)*8,VLOOKUP(L66,Karakterlap!$P$3:$Z$4,10,FALSE)*8),IFERROR(VLOOKUP(L66,Karakterlap!$P$3:$Z$4,10,FALSE)*8,8)))</f>
        <v>8</v>
      </c>
      <c r="AI66" s="10">
        <v>0</v>
      </c>
      <c r="AJ66" s="10">
        <v>5</v>
      </c>
      <c r="AK66" s="10">
        <v>5</v>
      </c>
      <c r="AL66" s="10">
        <f>IFERROR(VLOOKUP(L66,Karakterlap!$P$3:$Z$4,10,FALSE)*($E$18+1),$E$18+1)</f>
        <v>7</v>
      </c>
      <c r="AM66" s="10">
        <f>IFERROR(IF(VLOOKUP(L66,Karakterlap!$P$3:$Z$4,10,FALSE)&gt;1,9+((VLOOKUP(L66,Karakterlap!$P$3:$Z$4,10,FALSE)-1)*(($E$18)+3)),9),9)</f>
        <v>9</v>
      </c>
      <c r="AN66" t="s">
        <v>109</v>
      </c>
      <c r="AO66" t="str">
        <f>IFERROR((IF(Karakterlap!$F$9&gt;10,Karakterlap!$F$9-10,0))+5+((VLOOKUP(L66,Karakterlap!$P$3:$Z$4,10,FALSE)-1)*4),"más kaszt")</f>
        <v>más kaszt</v>
      </c>
      <c r="AT66" s="17">
        <v>15</v>
      </c>
      <c r="BA66">
        <f>IFERROR(IF(Karakterlap!$P$6&gt;13,165001+((Karakterlap!$P$6-13)*50000),165001),165001)</f>
        <v>165001</v>
      </c>
      <c r="BB66" s="40">
        <f>VLOOKUP("2k6+6",$I$2:$J$11,2,FALSE)+IFERROR(VLOOKUP(Karakterlap!$V$7,$A$24:$C$33,3,FALSE),0)</f>
        <v>13</v>
      </c>
      <c r="BC66" s="40">
        <f>VLOOKUP("2k6+6",$I$2:$J$11,2,FALSE)+IFERROR(VLOOKUP(Karakterlap!$V$7,$A$24:$D$33,4,FALSE),0)</f>
        <v>13</v>
      </c>
      <c r="BD66" s="40">
        <f>VLOOKUP("3k6(2x)",$I$2:$J$11,2,FALSE)+IFERROR(VLOOKUP(Karakterlap!$V$7,$A$24:$E$33,5,FALSE),0)</f>
        <v>11</v>
      </c>
      <c r="BE66" s="40">
        <f>VLOOKUP("3k6(2x)",$I$2:$J$11,2,FALSE)+IFERROR(VLOOKUP(Karakterlap!$V$7,$A$24:$F$33,6,FALSE),0)</f>
        <v>11</v>
      </c>
      <c r="BF66" s="40">
        <f>VLOOKUP("k10+8",$I$2:$J$11,2,FALSE)+IFERROR(VLOOKUP(Karakterlap!$V$7,$A$24:$G$33,7,FALSE),0)</f>
        <v>14</v>
      </c>
      <c r="BG66" s="40">
        <f>VLOOKUP("k10+10",$I$2:$J$11,2,FALSE)+IFERROR(VLOOKUP(Karakterlap!$V$7,$A$24:$H$33,8,FALSE),0)</f>
        <v>16</v>
      </c>
      <c r="BH66" s="40">
        <f>VLOOKUP("k10+8",$I$2:$J$11,2,FALSE)+IFERROR(VLOOKUP(Karakterlap!$V$7,$A$24:$I$33,9,FALSE),0)</f>
        <v>14</v>
      </c>
      <c r="BI66" s="40">
        <f t="shared" si="2"/>
        <v>14</v>
      </c>
      <c r="BJ66" s="40">
        <f>VLOOKUP("k6+12",$I$2:$J$11,2,FALSE)+IFERROR(VLOOKUP(Karakterlap!$V$7,$A$24:$J$33,10,FALSE),0)</f>
        <v>16</v>
      </c>
      <c r="BK66" s="40">
        <f t="shared" si="3"/>
        <v>14</v>
      </c>
      <c r="BL66" s="40">
        <f>IF((SUM(Karakterlap!$F$3:$F$12)-SUM(BB66:BK66))&lt;0,0,SUM(Karakterlap!$F$3:$F$12)-SUM(BB66:BK66))</f>
        <v>0</v>
      </c>
      <c r="BM66" t="e">
        <f>IF(Karakterlap!$F$3&gt;18,IF((Karakterlap!$F$3-IF(BB66&gt;18,BB66,18))&gt;0,Karakterlap!$F$3-IF(BB66&gt;18,BB66,18),0),0)+IF(Karakterlap!$F$4&gt;18,IF((Karakterlap!$F$4-IF(BC66&gt;18,BC66,18))&gt;0,Karakterlap!$F$4-IF(BC66&gt;18,BC66,18),0),0)+IF(Karakterlap!$F$5&gt;18,IF((Karakterlap!$F$5-IF(BD66&gt;18,BD66,18))&gt;0,Karakterlap!$F$5-IF(BD66&gt;18,BD66,18),0),0)+IF(Karakterlap!$F$6&gt;18,IF((Karakterlap!$F$6-IF(BE66&gt;18,BE66,18))&gt;0,Karakterlap!$F$6-IF(BE66&gt;18,BE66,18),0),0)+IF(Karakterlap!$F$7&gt;18,IF((Karakterlap!$F$7-IF(BF66&gt;18,BF66,18))&gt;0,Karakterlap!$F$7-IF(BF66&gt;18,BF66,18),0),0)+IF(Karakterlap!$F$8&gt;18,IF((Karakterlap!$F$8-IF(BG66&gt;18,BG66,18))&gt;0,Karakterlap!$F$8-IF(BG66&gt;18,BG66,18),0),0)+IF(Karakterlap!$F$9&gt;18,IF((Karakterlap!$F$9-IF(BH66&gt;18,BH66,18))&gt;0,Karakterlap!$F$9-IF(BH66&gt;18,BH66,18),0),0)+IF(Karakterlap!$F$10&gt;18,IF((Karakterlap!$F$10-IF(BI66&gt;18,BI66,18))&gt;0,Karakterlap!$F$10-IF(BI66&gt;18,BI66,18),0),0)+IF(Karakterlap!$F$11&gt;18,IF((Karakterlap!$F$11-IF(BJ66&gt;18,BJ66,18))&gt;0,Karakterlap!$F$11-IF(BJ66&gt;18,BJ66,18),0),0)+IF(Karakterlap!$F$12&gt;18,IF((Karakterlap!$F$12-IF(BK66&gt;18,BK66,18))&gt;0,Karakterlap!$F$12-IF(BK66&gt;18,BK66,18),0),0)</f>
        <v>#VALUE!</v>
      </c>
    </row>
    <row r="67" spans="12:65" x14ac:dyDescent="0.25">
      <c r="L67" s="10" t="s">
        <v>98</v>
      </c>
      <c r="M67" s="10">
        <v>0</v>
      </c>
      <c r="N67" s="10">
        <v>161</v>
      </c>
      <c r="O67" s="10">
        <v>331</v>
      </c>
      <c r="P67" s="10">
        <v>661</v>
      </c>
      <c r="Q67" s="10">
        <v>1301</v>
      </c>
      <c r="R67" s="10">
        <v>2601</v>
      </c>
      <c r="S67" s="10">
        <v>5001</v>
      </c>
      <c r="T67" s="10">
        <v>9001</v>
      </c>
      <c r="U67" s="10">
        <v>23001</v>
      </c>
      <c r="V67" s="10">
        <v>50001</v>
      </c>
      <c r="W67" s="10">
        <v>90001</v>
      </c>
      <c r="X67" s="10">
        <v>130001</v>
      </c>
      <c r="Y67">
        <f>IFERROR(IF(VLOOKUP(L67,Karakterlap!$P$3:$Z$4,10,FALSE)&gt;13,165001+((VLOOKUP(L67,Karakterlap!$P$3:$Z$4,10,FALSE)-13)*50000),165001),165001)</f>
        <v>165001</v>
      </c>
      <c r="Z67" s="10">
        <v>5</v>
      </c>
      <c r="AA67" s="10">
        <v>17</v>
      </c>
      <c r="AB67" s="10">
        <v>72</v>
      </c>
      <c r="AC67" s="10">
        <v>0</v>
      </c>
      <c r="AD67" s="10">
        <f>IFERROR(VLOOKUP(L67,Karakterlap!$P$3:$Z$4,10,FALSE)*8,8)</f>
        <v>8</v>
      </c>
      <c r="AE67" s="10">
        <f>IFERROR(IF(Karakterlap!$P$5="Váltott kaszt",IF(Karakterlap!$P$3=Adattábla!$L67,Karakterlap!$Y$3*3,IF(Karakterlap!$P$4=Adattábla!$L67,(Karakterlap!$Y$4-Adattábla!$I$20)*3,3)),VLOOKUP(Adattábla!$L67,Karakterlap!$P$3:$Z$4,10,FALSE)*3),3)</f>
        <v>3</v>
      </c>
      <c r="AF67" s="10">
        <f>IFERROR(IF(Karakterlap!$P$5="Váltott kaszt",IF(Karakterlap!$P$3=Adattábla!$L67,Karakterlap!$Y$3*3,IF(Karakterlap!$P$4=Adattábla!$L67,(Karakterlap!$Y$4-Adattábla!$I$20)*3,3)),VLOOKUP(Adattábla!$L67,Karakterlap!$P$3:$Z$4,10,FALSE)*3),3)</f>
        <v>3</v>
      </c>
      <c r="AG67" s="10">
        <v>4</v>
      </c>
      <c r="AH67" s="10">
        <f>IF(Karakterlap!$P$5="Iker kaszt",IF(Karakterlap!$P$3=L67,IFERROR((Karakterlap!$P$6*5)+(VLOOKUP(L67,Karakterlap!$P$3:$Z$4,10,FALSE)-Karakterlap!$P$6),5),IF(Karakterlap!$P$4=L67,VLOOKUP(L67,Karakterlap!$P$3:$Z$4,10,FALSE),5)),IF(Karakterlap!$P$5="Váltott kaszt",IF(L67=Karakterlap!$P$3,(Karakterlap!$Y$3+3)*5,VLOOKUP(L67,Karakterlap!$P$3:$Z$4,10,FALSE)*5),IFERROR(VLOOKUP(L67,Karakterlap!$P$3:$Z$4,10,FALSE)*5,5)))</f>
        <v>5</v>
      </c>
      <c r="AI67" s="10">
        <v>0</v>
      </c>
      <c r="AJ67" s="10">
        <v>6</v>
      </c>
      <c r="AK67" s="10">
        <v>6</v>
      </c>
      <c r="AL67" s="10">
        <f>IFERROR(VLOOKUP(L67,Karakterlap!$P$3:$Z$4,10,FALSE)*($E$18+2),$E$18+2)</f>
        <v>8</v>
      </c>
      <c r="AM67" s="10">
        <f>IFERROR(IF(VLOOKUP(L67,Karakterlap!$P$3:$Z$4,10,FALSE)&gt;1,9+((VLOOKUP(L67,Karakterlap!$P$3:$Z$4,10,FALSE)-1)*(($E$18)+3)),9),9)</f>
        <v>9</v>
      </c>
      <c r="AN67" t="s">
        <v>109</v>
      </c>
      <c r="AO67" t="str">
        <f>IFERROR((IF(Karakterlap!$F$9&gt;10,Karakterlap!$F$9-10,0))+5+((VLOOKUP(L67,Karakterlap!$P$3:$Z$4,10,FALSE)-1)*4),"más kaszt")</f>
        <v>más kaszt</v>
      </c>
      <c r="BA67">
        <f>IFERROR(IF(Karakterlap!$P$6&gt;13,165001+((Karakterlap!$P$6-13)*50000),165001),165001)</f>
        <v>165001</v>
      </c>
      <c r="BB67" s="40">
        <f>VLOOKUP("2k6+6",$I$2:$J$11,2,FALSE)+IFERROR(VLOOKUP(Karakterlap!$V$7,$A$24:$C$33,3,FALSE),0)</f>
        <v>13</v>
      </c>
      <c r="BC67" s="40">
        <f>VLOOKUP("2k6+6",$I$2:$J$11,2,FALSE)+IFERROR(VLOOKUP(Karakterlap!$V$7,$A$24:$D$33,4,FALSE),0)</f>
        <v>13</v>
      </c>
      <c r="BD67" s="40">
        <f>VLOOKUP("3k6(2x)",$I$2:$J$11,2,FALSE)+IFERROR(VLOOKUP(Karakterlap!$V$7,$A$24:$E$33,5,FALSE),0)</f>
        <v>11</v>
      </c>
      <c r="BE67" s="40">
        <f>VLOOKUP("3k6(2x)",$I$2:$J$11,2,FALSE)+IFERROR(VLOOKUP(Karakterlap!$V$7,$A$24:$F$33,6,FALSE),0)</f>
        <v>11</v>
      </c>
      <c r="BF67" s="40">
        <f>VLOOKUP("k10+8",$I$2:$J$11,2,FALSE)+IFERROR(VLOOKUP(Karakterlap!$V$7,$A$24:$G$33,7,FALSE),0)</f>
        <v>14</v>
      </c>
      <c r="BG67" s="40">
        <f>VLOOKUP("k10+10",$I$2:$J$11,2,FALSE)+IFERROR(VLOOKUP(Karakterlap!$V$7,$A$24:$H$33,8,FALSE),0)</f>
        <v>16</v>
      </c>
      <c r="BH67" s="40">
        <f>VLOOKUP("k10+8",$I$2:$J$11,2,FALSE)+IFERROR(VLOOKUP(Karakterlap!$V$7,$A$24:$I$33,9,FALSE),0)</f>
        <v>14</v>
      </c>
      <c r="BI67" s="40">
        <f t="shared" si="2"/>
        <v>14</v>
      </c>
      <c r="BJ67" s="40">
        <f>VLOOKUP("k6+12",$I$2:$J$11,2,FALSE)+IFERROR(VLOOKUP(Karakterlap!$V$7,$A$24:$J$33,10,FALSE),0)</f>
        <v>16</v>
      </c>
      <c r="BK67" s="40">
        <f t="shared" si="3"/>
        <v>14</v>
      </c>
      <c r="BL67" s="40">
        <f>IF((SUM(Karakterlap!$F$3:$F$12)-SUM(BB67:BK67))&lt;0,0,SUM(Karakterlap!$F$3:$F$12)-SUM(BB67:BK67))</f>
        <v>0</v>
      </c>
      <c r="BM67" t="e">
        <f>IF(Karakterlap!$F$3&gt;18,IF((Karakterlap!$F$3-IF(BB67&gt;18,BB67,18))&gt;0,Karakterlap!$F$3-IF(BB67&gt;18,BB67,18),0),0)+IF(Karakterlap!$F$4&gt;18,IF((Karakterlap!$F$4-IF(BC67&gt;18,BC67,18))&gt;0,Karakterlap!$F$4-IF(BC67&gt;18,BC67,18),0),0)+IF(Karakterlap!$F$5&gt;18,IF((Karakterlap!$F$5-IF(BD67&gt;18,BD67,18))&gt;0,Karakterlap!$F$5-IF(BD67&gt;18,BD67,18),0),0)+IF(Karakterlap!$F$6&gt;18,IF((Karakterlap!$F$6-IF(BE67&gt;18,BE67,18))&gt;0,Karakterlap!$F$6-IF(BE67&gt;18,BE67,18),0),0)+IF(Karakterlap!$F$7&gt;18,IF((Karakterlap!$F$7-IF(BF67&gt;18,BF67,18))&gt;0,Karakterlap!$F$7-IF(BF67&gt;18,BF67,18),0),0)+IF(Karakterlap!$F$8&gt;18,IF((Karakterlap!$F$8-IF(BG67&gt;18,BG67,18))&gt;0,Karakterlap!$F$8-IF(BG67&gt;18,BG67,18),0),0)+IF(Karakterlap!$F$9&gt;18,IF((Karakterlap!$F$9-IF(BH67&gt;18,BH67,18))&gt;0,Karakterlap!$F$9-IF(BH67&gt;18,BH67,18),0),0)+IF(Karakterlap!$F$10&gt;18,IF((Karakterlap!$F$10-IF(BI67&gt;18,BI67,18))&gt;0,Karakterlap!$F$10-IF(BI67&gt;18,BI67,18),0),0)+IF(Karakterlap!$F$11&gt;18,IF((Karakterlap!$F$11-IF(BJ67&gt;18,BJ67,18))&gt;0,Karakterlap!$F$11-IF(BJ67&gt;18,BJ67,18),0),0)+IF(Karakterlap!$F$12&gt;18,IF((Karakterlap!$F$12-IF(BK67&gt;18,BK67,18))&gt;0,Karakterlap!$F$12-IF(BK67&gt;18,BK67,18),0),0)</f>
        <v>#VALUE!</v>
      </c>
    </row>
    <row r="68" spans="12:65" x14ac:dyDescent="0.25">
      <c r="L68" s="10" t="s">
        <v>97</v>
      </c>
      <c r="M68" s="10">
        <v>0</v>
      </c>
      <c r="N68" s="10">
        <v>161</v>
      </c>
      <c r="O68" s="10">
        <v>331</v>
      </c>
      <c r="P68" s="10">
        <v>661</v>
      </c>
      <c r="Q68" s="10">
        <v>1301</v>
      </c>
      <c r="R68" s="10">
        <v>2601</v>
      </c>
      <c r="S68" s="10">
        <v>5001</v>
      </c>
      <c r="T68" s="10">
        <v>9001</v>
      </c>
      <c r="U68" s="10">
        <v>23001</v>
      </c>
      <c r="V68" s="10">
        <v>50001</v>
      </c>
      <c r="W68" s="10">
        <v>90001</v>
      </c>
      <c r="X68" s="10">
        <v>130001</v>
      </c>
      <c r="Y68">
        <f>IFERROR(IF(VLOOKUP(L68,Karakterlap!$P$3:$Z$4,10,FALSE)&gt;13,165001+((VLOOKUP(L68,Karakterlap!$P$3:$Z$4,10,FALSE)-13)*50000),165001),165001)</f>
        <v>165001</v>
      </c>
      <c r="Z68" s="10">
        <v>5</v>
      </c>
      <c r="AA68" s="10">
        <v>17</v>
      </c>
      <c r="AB68" s="10">
        <v>72</v>
      </c>
      <c r="AC68" s="10">
        <v>0</v>
      </c>
      <c r="AD68" s="10">
        <f>IFERROR(VLOOKUP(L68,Karakterlap!$P$3:$Z$4,10,FALSE)*8,8)</f>
        <v>8</v>
      </c>
      <c r="AE68" s="10">
        <f>IFERROR(IF(Karakterlap!$P$5="Váltott kaszt",IF(Karakterlap!$P$3=Adattábla!$L68,Karakterlap!$Y$3*3,IF(Karakterlap!$P$4=Adattábla!$L68,(Karakterlap!$Y$4-Adattábla!$I$20)*3,3)),VLOOKUP(Adattábla!$L68,Karakterlap!$P$3:$Z$4,10,FALSE)*3),3)</f>
        <v>3</v>
      </c>
      <c r="AF68" s="10">
        <f>IFERROR(IF(Karakterlap!$P$5="Váltott kaszt",IF(Karakterlap!$P$3=Adattábla!$L68,Karakterlap!$Y$3*3,IF(Karakterlap!$P$4=Adattábla!$L68,(Karakterlap!$Y$4-Adattábla!$I$20)*3,3)),VLOOKUP(Adattábla!$L68,Karakterlap!$P$3:$Z$4,10,FALSE)*3),3)</f>
        <v>3</v>
      </c>
      <c r="AG68" s="10">
        <v>4</v>
      </c>
      <c r="AH68" s="10">
        <f>IF(Karakterlap!$P$5="Iker kaszt",IF(Karakterlap!$P$3=L68,IFERROR((Karakterlap!$P$6*9)+(VLOOKUP(L68,Karakterlap!$P$3:$Z$4,10,FALSE)-Karakterlap!$P$6),9),IF(Karakterlap!$P$4=L68,VLOOKUP(L68,Karakterlap!$P$3:$Z$4,10,FALSE),9)),IF(Karakterlap!$P$5="Váltott kaszt",IF(L68=Karakterlap!$P$3,(Karakterlap!$Y$3+3)*9,VLOOKUP(L68,Karakterlap!$P$3:$Z$4,10,FALSE)*9),IFERROR(VLOOKUP(L68,Karakterlap!$P$3:$Z$4,10,FALSE)*9,9)))</f>
        <v>9</v>
      </c>
      <c r="AI68" s="10">
        <v>0</v>
      </c>
      <c r="AJ68" s="10">
        <v>6</v>
      </c>
      <c r="AK68" s="10">
        <v>6</v>
      </c>
      <c r="AL68" s="10">
        <f>IFERROR(VLOOKUP(L68,Karakterlap!$P$3:$Z$4,10,FALSE)*($E$18+2),$E$18+2)</f>
        <v>8</v>
      </c>
      <c r="AM68" s="11">
        <f>IFERROR(IF(VLOOKUP(L68,Karakterlap!$P$3:$Z$4,10,FALSE)&gt;1,9+((VLOOKUP(L68,Karakterlap!$P$3:$Z$4,10,FALSE)-1)*(IF($E$18&lt;4,1,2)+7)),9),9)</f>
        <v>9</v>
      </c>
      <c r="AN68" t="s">
        <v>109</v>
      </c>
      <c r="AO68" t="str">
        <f>IFERROR((IF(Karakterlap!$F$9&gt;10,Karakterlap!$F$9-10,0))+5+((VLOOKUP(L68,Karakterlap!$P$3:$Z$4,10,FALSE)-1)*4),"más kaszt")</f>
        <v>más kaszt</v>
      </c>
      <c r="BA68">
        <f>IFERROR(IF(Karakterlap!$P$6&gt;13,165001+((Karakterlap!$P$6-13)*50000),165001),165001)</f>
        <v>165001</v>
      </c>
      <c r="BB68" s="40">
        <f>VLOOKUP("2k6+6",$I$2:$J$11,2,FALSE)+IFERROR(VLOOKUP(Karakterlap!$V$7,$A$24:$C$33,3,FALSE),0)</f>
        <v>13</v>
      </c>
      <c r="BC68" s="40">
        <f>VLOOKUP("2k6+6",$I$2:$J$11,2,FALSE)+IFERROR(VLOOKUP(Karakterlap!$V$7,$A$24:$D$33,4,FALSE),0)</f>
        <v>13</v>
      </c>
      <c r="BD68" s="40">
        <f>VLOOKUP("3k6(2x)",$I$2:$J$11,2,FALSE)+IFERROR(VLOOKUP(Karakterlap!$V$7,$A$24:$E$33,5,FALSE),0)</f>
        <v>11</v>
      </c>
      <c r="BE68" s="40">
        <f>VLOOKUP("3k6(2x)",$I$2:$J$11,2,FALSE)+IFERROR(VLOOKUP(Karakterlap!$V$7,$A$24:$F$33,6,FALSE),0)</f>
        <v>11</v>
      </c>
      <c r="BF68" s="40">
        <f>VLOOKUP("k10+8",$I$2:$J$11,2,FALSE)+IFERROR(VLOOKUP(Karakterlap!$V$7,$A$24:$G$33,7,FALSE),0)</f>
        <v>14</v>
      </c>
      <c r="BG68" s="40">
        <f>VLOOKUP("k10+10",$I$2:$J$11,2,FALSE)+IFERROR(VLOOKUP(Karakterlap!$V$7,$A$24:$H$33,8,FALSE),0)</f>
        <v>16</v>
      </c>
      <c r="BH68" s="40">
        <f>VLOOKUP("k10+8",$I$2:$J$11,2,FALSE)+IFERROR(VLOOKUP(Karakterlap!$V$7,$A$24:$I$33,9,FALSE),0)</f>
        <v>14</v>
      </c>
      <c r="BI68" s="40">
        <f t="shared" si="2"/>
        <v>14</v>
      </c>
      <c r="BJ68" s="40">
        <f>VLOOKUP("k6+12",$I$2:$J$11,2,FALSE)+IFERROR(VLOOKUP(Karakterlap!$V$7,$A$24:$J$33,10,FALSE),0)</f>
        <v>16</v>
      </c>
      <c r="BK68" s="40">
        <f t="shared" si="3"/>
        <v>14</v>
      </c>
      <c r="BL68" s="40">
        <f>IF((SUM(Karakterlap!$F$3:$F$12)-SUM(BB68:BK68))&lt;0,0,SUM(Karakterlap!$F$3:$F$12)-SUM(BB68:BK68))</f>
        <v>0</v>
      </c>
      <c r="BM68" t="e">
        <f>IF(Karakterlap!$F$3&gt;18,IF((Karakterlap!$F$3-IF(BB68&gt;18,BB68,18))&gt;0,Karakterlap!$F$3-IF(BB68&gt;18,BB68,18),0),0)+IF(Karakterlap!$F$4&gt;18,IF((Karakterlap!$F$4-IF(BC68&gt;18,BC68,18))&gt;0,Karakterlap!$F$4-IF(BC68&gt;18,BC68,18),0),0)+IF(Karakterlap!$F$5&gt;18,IF((Karakterlap!$F$5-IF(BD68&gt;18,BD68,18))&gt;0,Karakterlap!$F$5-IF(BD68&gt;18,BD68,18),0),0)+IF(Karakterlap!$F$6&gt;18,IF((Karakterlap!$F$6-IF(BE68&gt;18,BE68,18))&gt;0,Karakterlap!$F$6-IF(BE68&gt;18,BE68,18),0),0)+IF(Karakterlap!$F$7&gt;18,IF((Karakterlap!$F$7-IF(BF68&gt;18,BF68,18))&gt;0,Karakterlap!$F$7-IF(BF68&gt;18,BF68,18),0),0)+IF(Karakterlap!$F$8&gt;18,IF((Karakterlap!$F$8-IF(BG68&gt;18,BG68,18))&gt;0,Karakterlap!$F$8-IF(BG68&gt;18,BG68,18),0),0)+IF(Karakterlap!$F$9&gt;18,IF((Karakterlap!$F$9-IF(BH68&gt;18,BH68,18))&gt;0,Karakterlap!$F$9-IF(BH68&gt;18,BH68,18),0),0)+IF(Karakterlap!$F$10&gt;18,IF((Karakterlap!$F$10-IF(BI68&gt;18,BI68,18))&gt;0,Karakterlap!$F$10-IF(BI68&gt;18,BI68,18),0),0)+IF(Karakterlap!$F$11&gt;18,IF((Karakterlap!$F$11-IF(BJ68&gt;18,BJ68,18))&gt;0,Karakterlap!$F$11-IF(BJ68&gt;18,BJ68,18),0),0)+IF(Karakterlap!$F$12&gt;18,IF((Karakterlap!$F$12-IF(BK68&gt;18,BK68,18))&gt;0,Karakterlap!$F$12-IF(BK68&gt;18,BK68,18),0),0)</f>
        <v>#VALUE!</v>
      </c>
    </row>
    <row r="69" spans="12:65" x14ac:dyDescent="0.25">
      <c r="L69" s="10" t="s">
        <v>177</v>
      </c>
      <c r="M69" s="10">
        <v>0</v>
      </c>
      <c r="N69" s="10">
        <v>161</v>
      </c>
      <c r="O69" s="10">
        <v>331</v>
      </c>
      <c r="P69" s="10">
        <v>661</v>
      </c>
      <c r="Q69" s="10">
        <v>1301</v>
      </c>
      <c r="R69" s="10">
        <v>2601</v>
      </c>
      <c r="S69" s="10">
        <v>5001</v>
      </c>
      <c r="T69" s="10">
        <v>9001</v>
      </c>
      <c r="U69" s="10">
        <v>23001</v>
      </c>
      <c r="V69" s="10">
        <v>50001</v>
      </c>
      <c r="W69" s="10">
        <v>90001</v>
      </c>
      <c r="X69" s="10">
        <v>130001</v>
      </c>
      <c r="Y69" s="10">
        <f>IFERROR(IF(VLOOKUP(L69,Karakterlap!$P$3:$Z$4,10,FALSE)&gt;13,165001+((VLOOKUP(L69,Karakterlap!$P$3:$Z$4,10,FALSE)-13)*50000),165001),165001)</f>
        <v>165001</v>
      </c>
      <c r="Z69" s="10">
        <v>5</v>
      </c>
      <c r="AA69" s="10">
        <v>17</v>
      </c>
      <c r="AB69" s="10">
        <v>72</v>
      </c>
      <c r="AC69" s="10">
        <v>0</v>
      </c>
      <c r="AD69" s="10">
        <f>IFERROR(VLOOKUP(L69,Karakterlap!$P$3:$Z$4,10,FALSE)*8,8)</f>
        <v>8</v>
      </c>
      <c r="AE69" s="10">
        <f>IFERROR(IF(Karakterlap!$P$5="Váltott kaszt",IF(Karakterlap!$P$3=Adattábla!$L69,Karakterlap!$Y$3*3,IF(Karakterlap!$P$4=Adattábla!$L69,(Karakterlap!$Y$4-Adattábla!$I$20)*3,3)),VLOOKUP(Adattábla!$L69,Karakterlap!$P$3:$Z$4,10,FALSE)*3),3)</f>
        <v>3</v>
      </c>
      <c r="AF69" s="10">
        <f>IFERROR(IF(Karakterlap!$P$5="Váltott kaszt",IF(Karakterlap!$P$3=Adattábla!$L69,Karakterlap!$Y$3*3,IF(Karakterlap!$P$4=Adattábla!$L69,(Karakterlap!$Y$4-Adattábla!$I$20)*3,3)),VLOOKUP(Adattábla!$L69,Karakterlap!$P$3:$Z$4,10,FALSE)*3),3)</f>
        <v>3</v>
      </c>
      <c r="AG69" s="10">
        <v>6</v>
      </c>
      <c r="AH69" s="10">
        <f>IF(Karakterlap!$P$5="Iker kaszt",IF(Karakterlap!$P$3=L69,IFERROR((Karakterlap!$P$6*10)+(VLOOKUP(L69,Karakterlap!$P$3:$Z$4,10,FALSE)-Karakterlap!$P$6),10),IF(Karakterlap!$P$4=L69,VLOOKUP(L69,Karakterlap!$P$3:$Z$4,10,FALSE),10)),IF(Karakterlap!$P$5="Váltott kaszt",IF(L69=Karakterlap!$P$3,(Karakterlap!$Y$3+3)*10,VLOOKUP(L69,Karakterlap!$P$3:$Z$4,10,FALSE)*10),IFERROR(VLOOKUP(L69,Karakterlap!$P$3:$Z$4,10,FALSE)*10,10)))</f>
        <v>10</v>
      </c>
      <c r="AI69" s="10">
        <v>0</v>
      </c>
      <c r="AJ69" s="10">
        <v>3</v>
      </c>
      <c r="AK69" s="10">
        <v>7</v>
      </c>
      <c r="AL69" s="10">
        <f>IFERROR(VLOOKUP(L69,Karakterlap!$P$3:$Z$4,10,FALSE)*($E$18+3),$E$18+3)</f>
        <v>9</v>
      </c>
      <c r="AM69" s="10">
        <f>IFERROR(IF(VLOOKUP(L69,Karakterlap!$P$3:$Z$4,10,FALSE)&gt;1,9+((VLOOKUP(L69,Karakterlap!$P$3:$Z$4,10,FALSE)-1)*(($E$18)+3)),9),9)</f>
        <v>9</v>
      </c>
      <c r="AN69" s="10" t="s">
        <v>109</v>
      </c>
      <c r="AO69" s="10" t="str">
        <f>IFERROR((IF(Karakterlap!$F$9&gt;10,Karakterlap!$F$9-10,0))+5+((VLOOKUP(L57,Karakterlap!$P$3:$Z$4,10,FALSE)-1)*4),"más kaszt")</f>
        <v>más kaszt</v>
      </c>
      <c r="AP69" s="10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10">
        <f>IFERROR(IF(Karakterlap!$P$6&gt;13,165001+((Karakterlap!$P$6-13)*50000),165001),165001)</f>
        <v>165001</v>
      </c>
      <c r="BB69" s="40">
        <f>VLOOKUP("2k6+6",$I$2:$J$11,2,FALSE)+IFERROR(VLOOKUP(Karakterlap!$V$7,$A$24:$C$33,3,FALSE),0)</f>
        <v>13</v>
      </c>
      <c r="BC69" s="40">
        <f>VLOOKUP("2k6+6",$I$2:$J$11,2,FALSE)+IFERROR(VLOOKUP(Karakterlap!$V$7,$A$24:$D$33,4,FALSE),0)</f>
        <v>13</v>
      </c>
      <c r="BD69" s="40">
        <f>VLOOKUP("3k6(2x)",$I$2:$J$11,2,FALSE)+IFERROR(VLOOKUP(Karakterlap!$V$7,$A$24:$E$33,5,FALSE),0)</f>
        <v>11</v>
      </c>
      <c r="BE69" s="40">
        <f>VLOOKUP("3k6(2x)",$I$2:$J$11,2,FALSE)+IFERROR(VLOOKUP(Karakterlap!$V$7,$A$24:$F$33,6,FALSE),0)</f>
        <v>11</v>
      </c>
      <c r="BF69" s="40">
        <f>VLOOKUP("k10+8",$I$2:$J$11,2,FALSE)+IFERROR(VLOOKUP(Karakterlap!$V$7,$A$24:$G$33,7,FALSE),0)</f>
        <v>14</v>
      </c>
      <c r="BG69" s="40">
        <f>VLOOKUP("k10+10",$I$2:$J$11,2,FALSE)+IFERROR(VLOOKUP(Karakterlap!$V$7,$A$24:$H$33,8,FALSE),0)</f>
        <v>16</v>
      </c>
      <c r="BH69" s="40">
        <f>VLOOKUP("k10+8",$I$2:$J$11,2,FALSE)+IFERROR(VLOOKUP(Karakterlap!$V$7,$A$24:$I$33,9,FALSE),0)</f>
        <v>14</v>
      </c>
      <c r="BI69" s="40">
        <f t="shared" si="2"/>
        <v>14</v>
      </c>
      <c r="BJ69" s="40">
        <f>VLOOKUP("k6+12",$I$2:$J$11,2,FALSE)+IFERROR(VLOOKUP(Karakterlap!$V$7,$A$24:$J$33,10,FALSE),0)</f>
        <v>16</v>
      </c>
      <c r="BK69" s="40">
        <f t="shared" si="3"/>
        <v>14</v>
      </c>
      <c r="BL69" s="40">
        <f>IF((SUM(Karakterlap!$F$3:$F$12)-SUM(BB69:BK69))&lt;0,0,SUM(Karakterlap!$F$3:$F$12)-SUM(BB69:BK69))</f>
        <v>0</v>
      </c>
      <c r="BM69" t="e">
        <f>IF(Karakterlap!$F$3&gt;18,IF((Karakterlap!$F$3-IF(BB69&gt;18,BB69,18))&gt;0,Karakterlap!$F$3-IF(BB69&gt;18,BB69,18),0),0)+IF(Karakterlap!$F$4&gt;18,IF((Karakterlap!$F$4-IF(BC69&gt;18,BC69,18))&gt;0,Karakterlap!$F$4-IF(BC69&gt;18,BC69,18),0),0)+IF(Karakterlap!$F$5&gt;18,IF((Karakterlap!$F$5-IF(BD69&gt;18,BD69,18))&gt;0,Karakterlap!$F$5-IF(BD69&gt;18,BD69,18),0),0)+IF(Karakterlap!$F$6&gt;18,IF((Karakterlap!$F$6-IF(BE69&gt;18,BE69,18))&gt;0,Karakterlap!$F$6-IF(BE69&gt;18,BE69,18),0),0)+IF(Karakterlap!$F$7&gt;18,IF((Karakterlap!$F$7-IF(BF69&gt;18,BF69,18))&gt;0,Karakterlap!$F$7-IF(BF69&gt;18,BF69,18),0),0)+IF(Karakterlap!$F$8&gt;18,IF((Karakterlap!$F$8-IF(BG69&gt;18,BG69,18))&gt;0,Karakterlap!$F$8-IF(BG69&gt;18,BG69,18),0),0)+IF(Karakterlap!$F$9&gt;18,IF((Karakterlap!$F$9-IF(BH69&gt;18,BH69,18))&gt;0,Karakterlap!$F$9-IF(BH69&gt;18,BH69,18),0),0)+IF(Karakterlap!$F$10&gt;18,IF((Karakterlap!$F$10-IF(BI69&gt;18,BI69,18))&gt;0,Karakterlap!$F$10-IF(BI69&gt;18,BI69,18),0),0)+IF(Karakterlap!$F$11&gt;18,IF((Karakterlap!$F$11-IF(BJ69&gt;18,BJ69,18))&gt;0,Karakterlap!$F$11-IF(BJ69&gt;18,BJ69,18),0),0)+IF(Karakterlap!$F$12&gt;18,IF((Karakterlap!$F$12-IF(BK69&gt;18,BK69,18))&gt;0,Karakterlap!$F$12-IF(BK69&gt;18,BK69,18),0),0)</f>
        <v>#VALUE!</v>
      </c>
    </row>
    <row r="70" spans="12:65" x14ac:dyDescent="0.25">
      <c r="L70" s="10" t="s">
        <v>176</v>
      </c>
      <c r="M70" s="10">
        <v>0</v>
      </c>
      <c r="N70" s="10">
        <v>161</v>
      </c>
      <c r="O70" s="10">
        <v>331</v>
      </c>
      <c r="P70" s="10">
        <v>661</v>
      </c>
      <c r="Q70" s="10">
        <v>1301</v>
      </c>
      <c r="R70" s="10">
        <v>2601</v>
      </c>
      <c r="S70" s="10">
        <v>5001</v>
      </c>
      <c r="T70" s="10">
        <v>9001</v>
      </c>
      <c r="U70" s="10">
        <v>23001</v>
      </c>
      <c r="V70" s="10">
        <v>50001</v>
      </c>
      <c r="W70" s="10">
        <v>90001</v>
      </c>
      <c r="X70" s="10">
        <v>130001</v>
      </c>
      <c r="Y70" s="10">
        <f>IFERROR(IF(VLOOKUP(L70,Karakterlap!$P$3:$Z$4,10,FALSE)&gt;13,165001+((VLOOKUP(L70,Karakterlap!$P$3:$Z$4,10,FALSE)-13)*50000),165001),165001)</f>
        <v>165001</v>
      </c>
      <c r="Z70" s="10">
        <v>5</v>
      </c>
      <c r="AA70" s="10">
        <v>17</v>
      </c>
      <c r="AB70" s="10">
        <v>72</v>
      </c>
      <c r="AC70" s="10">
        <v>0</v>
      </c>
      <c r="AD70" s="10">
        <f>IFERROR(VLOOKUP(L70,Karakterlap!$P$3:$Z$4,10,FALSE)*8,8)</f>
        <v>8</v>
      </c>
      <c r="AE70" s="10">
        <f>IFERROR(IF(Karakterlap!$P$5="Váltott kaszt",IF(Karakterlap!$P$3=Adattábla!$L70,Karakterlap!$Y$3*3,IF(Karakterlap!$P$4=Adattábla!$L70,(Karakterlap!$Y$4-Adattábla!$I$20)*3,3)),VLOOKUP(Adattábla!$L70,Karakterlap!$P$3:$Z$4,10,FALSE)*3),3)</f>
        <v>3</v>
      </c>
      <c r="AF70" s="10">
        <f>IFERROR(IF(Karakterlap!$P$5="Váltott kaszt",IF(Karakterlap!$P$3=Adattábla!$L70,Karakterlap!$Y$3*3,IF(Karakterlap!$P$4=Adattábla!$L70,(Karakterlap!$Y$4-Adattábla!$I$20)*3,3)),VLOOKUP(Adattábla!$L70,Karakterlap!$P$3:$Z$4,10,FALSE)*3),3)</f>
        <v>3</v>
      </c>
      <c r="AG70" s="10">
        <v>6</v>
      </c>
      <c r="AH70" s="10">
        <f>IF(Karakterlap!$P$5="Iker kaszt",IF(Karakterlap!$P$3=L70,IFERROR((Karakterlap!$P$6*10)+(VLOOKUP(L70,Karakterlap!$P$3:$Z$4,10,FALSE)-Karakterlap!$P$6),10),IF(Karakterlap!$P$4=L70,VLOOKUP(L70,Karakterlap!$P$3:$Z$4,10,FALSE),10)),IF(Karakterlap!$P$5="Váltott kaszt",IF(L70=Karakterlap!$P$3,(Karakterlap!$Y$3+3)*10,VLOOKUP(L70,Karakterlap!$P$3:$Z$4,10,FALSE)*10),IFERROR(VLOOKUP(L70,Karakterlap!$P$3:$Z$4,10,FALSE)*10,10)))</f>
        <v>10</v>
      </c>
      <c r="AI70" s="10">
        <v>0</v>
      </c>
      <c r="AJ70" s="10">
        <v>6</v>
      </c>
      <c r="AK70" s="10">
        <v>6</v>
      </c>
      <c r="AL70" s="10">
        <f>IFERROR(VLOOKUP(L70,Karakterlap!$P$3:$Z$4,10,FALSE)*($E$18+2),$E$18+2)</f>
        <v>8</v>
      </c>
      <c r="AM70" s="10">
        <f>IFERROR(IF(VLOOKUP(L70,Karakterlap!$P$3:$Z$4,10,FALSE)&gt;1,9+((VLOOKUP(L70,Karakterlap!$P$3:$Z$4,10,FALSE)-1)*(($E$18)+3)),9),9)</f>
        <v>9</v>
      </c>
      <c r="AN70" s="10" t="s">
        <v>109</v>
      </c>
      <c r="AO70" s="10" t="str">
        <f>IFERROR((IF(Karakterlap!$F$9&gt;10,Karakterlap!$F$9-10,0))+5+((VLOOKUP(L57,Karakterlap!$P$3:$Z$4,10,FALSE)-1)*4),"más kaszt")</f>
        <v>más kaszt</v>
      </c>
      <c r="AP70" s="10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10">
        <f>IFERROR(IF(Karakterlap!$P$6&gt;13,165001+((Karakterlap!$P$6-13)*50000),165001),165001)</f>
        <v>165001</v>
      </c>
      <c r="BB70" s="40">
        <f>VLOOKUP("2k6+6",$I$2:$J$11,2,FALSE)+IFERROR(VLOOKUP(Karakterlap!$V$7,$A$24:$C$33,3,FALSE),0)</f>
        <v>13</v>
      </c>
      <c r="BC70" s="40">
        <f>VLOOKUP("2k6+6",$I$2:$J$11,2,FALSE)+IFERROR(VLOOKUP(Karakterlap!$V$7,$A$24:$D$33,4,FALSE),0)</f>
        <v>13</v>
      </c>
      <c r="BD70" s="40">
        <f>VLOOKUP("3k6(2x)",$I$2:$J$11,2,FALSE)+IFERROR(VLOOKUP(Karakterlap!$V$7,$A$24:$E$33,5,FALSE),0)</f>
        <v>11</v>
      </c>
      <c r="BE70" s="40">
        <f>VLOOKUP("3k6(2x)",$I$2:$J$11,2,FALSE)+IFERROR(VLOOKUP(Karakterlap!$V$7,$A$24:$F$33,6,FALSE),0)</f>
        <v>11</v>
      </c>
      <c r="BF70" s="40">
        <f>VLOOKUP("k10+8",$I$2:$J$11,2,FALSE)+IFERROR(VLOOKUP(Karakterlap!$V$7,$A$24:$G$33,7,FALSE),0)</f>
        <v>14</v>
      </c>
      <c r="BG70" s="40">
        <f>VLOOKUP("k10+10",$I$2:$J$11,2,FALSE)+IFERROR(VLOOKUP(Karakterlap!$V$7,$A$24:$H$33,8,FALSE),0)</f>
        <v>16</v>
      </c>
      <c r="BH70" s="40">
        <f>VLOOKUP("k10+8",$I$2:$J$11,2,FALSE)+IFERROR(VLOOKUP(Karakterlap!$V$7,$A$24:$I$33,9,FALSE),0)</f>
        <v>14</v>
      </c>
      <c r="BI70" s="40">
        <f t="shared" si="2"/>
        <v>14</v>
      </c>
      <c r="BJ70" s="40">
        <f>VLOOKUP("k6+12",$I$2:$J$11,2,FALSE)+IFERROR(VLOOKUP(Karakterlap!$V$7,$A$24:$J$33,10,FALSE),0)</f>
        <v>16</v>
      </c>
      <c r="BK70" s="40">
        <f t="shared" si="3"/>
        <v>14</v>
      </c>
      <c r="BL70" s="40">
        <f>IF((SUM(Karakterlap!$F$3:$F$12)-SUM(BB70:BK70))&lt;0,0,SUM(Karakterlap!$F$3:$F$12)-SUM(BB70:BK70))</f>
        <v>0</v>
      </c>
      <c r="BM70" t="e">
        <f>IF(Karakterlap!$F$3&gt;18,IF((Karakterlap!$F$3-IF(BB70&gt;18,BB70,18))&gt;0,Karakterlap!$F$3-IF(BB70&gt;18,BB70,18),0),0)+IF(Karakterlap!$F$4&gt;18,IF((Karakterlap!$F$4-IF(BC70&gt;18,BC70,18))&gt;0,Karakterlap!$F$4-IF(BC70&gt;18,BC70,18),0),0)+IF(Karakterlap!$F$5&gt;18,IF((Karakterlap!$F$5-IF(BD70&gt;18,BD70,18))&gt;0,Karakterlap!$F$5-IF(BD70&gt;18,BD70,18),0),0)+IF(Karakterlap!$F$6&gt;18,IF((Karakterlap!$F$6-IF(BE70&gt;18,BE70,18))&gt;0,Karakterlap!$F$6-IF(BE70&gt;18,BE70,18),0),0)+IF(Karakterlap!$F$7&gt;18,IF((Karakterlap!$F$7-IF(BF70&gt;18,BF70,18))&gt;0,Karakterlap!$F$7-IF(BF70&gt;18,BF70,18),0),0)+IF(Karakterlap!$F$8&gt;18,IF((Karakterlap!$F$8-IF(BG70&gt;18,BG70,18))&gt;0,Karakterlap!$F$8-IF(BG70&gt;18,BG70,18),0),0)+IF(Karakterlap!$F$9&gt;18,IF((Karakterlap!$F$9-IF(BH70&gt;18,BH70,18))&gt;0,Karakterlap!$F$9-IF(BH70&gt;18,BH70,18),0),0)+IF(Karakterlap!$F$10&gt;18,IF((Karakterlap!$F$10-IF(BI70&gt;18,BI70,18))&gt;0,Karakterlap!$F$10-IF(BI70&gt;18,BI70,18),0),0)+IF(Karakterlap!$F$11&gt;18,IF((Karakterlap!$F$11-IF(BJ70&gt;18,BJ70,18))&gt;0,Karakterlap!$F$11-IF(BJ70&gt;18,BJ70,18),0),0)+IF(Karakterlap!$F$12&gt;18,IF((Karakterlap!$F$12-IF(BK70&gt;18,BK70,18))&gt;0,Karakterlap!$F$12-IF(BK70&gt;18,BK70,18),0),0)</f>
        <v>#VALUE!</v>
      </c>
    </row>
    <row r="71" spans="12:65" x14ac:dyDescent="0.25">
      <c r="L71" s="10" t="s">
        <v>178</v>
      </c>
      <c r="M71">
        <v>0</v>
      </c>
      <c r="N71">
        <v>176</v>
      </c>
      <c r="O71">
        <v>353</v>
      </c>
      <c r="P71">
        <v>721</v>
      </c>
      <c r="Q71">
        <v>1501</v>
      </c>
      <c r="R71">
        <v>3501</v>
      </c>
      <c r="S71">
        <v>7001</v>
      </c>
      <c r="T71">
        <v>10501</v>
      </c>
      <c r="U71">
        <v>21001</v>
      </c>
      <c r="V71">
        <v>48001</v>
      </c>
      <c r="W71">
        <v>78001</v>
      </c>
      <c r="X71">
        <v>108001</v>
      </c>
      <c r="Y71">
        <f>IFERROR(IF(VLOOKUP(L71,Karakterlap!$P$3:$Z$4,10,FALSE)&gt;13,138001+((VLOOKUP(L71,Karakterlap!$P$3:$Z$4,10,FALSE)-13)*38000),138001),138001)</f>
        <v>138001</v>
      </c>
      <c r="Z71" s="10">
        <v>5</v>
      </c>
      <c r="AA71" s="10">
        <v>20</v>
      </c>
      <c r="AB71" s="10">
        <v>75</v>
      </c>
      <c r="AC71" s="10">
        <v>0</v>
      </c>
      <c r="AD71" s="10">
        <f>IFERROR(VLOOKUP(L71,Karakterlap!$P$3:$Z$4,10,FALSE)*8,8)</f>
        <v>8</v>
      </c>
      <c r="AE71" s="10">
        <f>IFERROR(IF(Karakterlap!$P$5="Váltott kaszt",IF(Karakterlap!$P$3=Adattábla!$L71,Karakterlap!$Y$3*3,IF(Karakterlap!$P$4=Adattábla!$L71,(Karakterlap!$Y$4-Adattábla!$I$20)*3,3)),VLOOKUP(Adattábla!$L71,Karakterlap!$P$3:$Z$4,10,FALSE)*3),3)</f>
        <v>3</v>
      </c>
      <c r="AF71" s="10">
        <f>IFERROR(IF(Karakterlap!$P$5="Váltott kaszt",IF(Karakterlap!$P$3=Adattábla!$L71,Karakterlap!$Y$3*3,IF(Karakterlap!$P$4=Adattábla!$L71,(Karakterlap!$Y$4-Adattábla!$I$20)*3,3)),VLOOKUP(Adattábla!$L71,Karakterlap!$P$3:$Z$4,10,FALSE)*3),3)</f>
        <v>3</v>
      </c>
      <c r="AG71" s="10">
        <v>5</v>
      </c>
      <c r="AH71" s="10">
        <f>IF(Karakterlap!$P$5="Iker kaszt",IF(Karakterlap!$P$3=L71,IFERROR((Karakterlap!$P$6*5)+(VLOOKUP(L71,Karakterlap!$P$3:$Z$4,10,FALSE)-Karakterlap!$P$6),5),IF(Karakterlap!$P$4=L71,VLOOKUP(L71,Karakterlap!$P$3:$Z$4,10,FALSE),5)),IF(Karakterlap!$P$5="Váltott kaszt",IF(L71=Karakterlap!$P$3,(Karakterlap!$Y$3+3)*5,VLOOKUP(L71,Karakterlap!$P$3:$Z$4,10,FALSE)*5),IFERROR(VLOOKUP(L71,Karakterlap!$P$3:$Z$4,10,FALSE)*5,5)))</f>
        <v>5</v>
      </c>
      <c r="AI71" s="10">
        <v>0</v>
      </c>
      <c r="AJ71" s="10">
        <v>8</v>
      </c>
      <c r="AK71" s="10">
        <v>7</v>
      </c>
      <c r="AL71">
        <f>IFERROR(VLOOKUP(L71,Karakterlap!$P$3:$Z$4,10,FALSE)*($E$18+5),$E$18+5)</f>
        <v>11</v>
      </c>
      <c r="AM71">
        <f>IFERROR(IF(VLOOKUP(L71,Karakterlap!$P$3:$Z$4,10,FALSE)&gt;1,9+((VLOOKUP(L71,Karakterlap!$P$3:$Z$4,10,FALSE)-1)*(($E$18)+3)),9),9)</f>
        <v>9</v>
      </c>
      <c r="AN71" t="s">
        <v>109</v>
      </c>
      <c r="AO71" t="str">
        <f>IFERROR((IF(Karakterlap!$F$9&gt;10,Karakterlap!$F$9-10,0))+5+((VLOOKUP(L54,Karakterlap!$P$3:$Z$4,10,FALSE)-1)*4),"más kaszt")</f>
        <v>más kaszt</v>
      </c>
      <c r="BA71">
        <f>IFERROR(IF(Karakterlap!$P$6&gt;13,138001+((Karakterlap!$P$6-13)*38000),138001),138001)</f>
        <v>138001</v>
      </c>
      <c r="BB71" s="40">
        <f>VLOOKUP("k10+8",$I$2:$J$11,2,FALSE)+IFERROR(VLOOKUP(Karakterlap!$V$7,$A$24:$C$33,3,FALSE),0)</f>
        <v>14</v>
      </c>
      <c r="BC71" s="40">
        <f>VLOOKUP("k10+8",$I$2:$J$11,2,FALSE)+IFERROR(VLOOKUP(Karakterlap!$V$7,$A$24:$D$33,4,FALSE),0)</f>
        <v>14</v>
      </c>
      <c r="BD71" s="40">
        <f>VLOOKUP("3k6(2x)",$I$2:$J$11,2,FALSE)+IFERROR(VLOOKUP(Karakterlap!$V$7,$A$24:$E$33,5,FALSE),0)</f>
        <v>11</v>
      </c>
      <c r="BE71" s="40">
        <f>VLOOKUP("3k6(2x)",$I$2:$J$11,2,FALSE)+IFERROR(VLOOKUP(Karakterlap!$V$7,$A$24:$F$33,6,FALSE),0)</f>
        <v>11</v>
      </c>
      <c r="BF71" s="40">
        <f>VLOOKUP("k10+10",$I$2:$J$11,2,FALSE)+IFERROR(VLOOKUP(Karakterlap!$V$7,$A$24:$G$33,7,FALSE),0)</f>
        <v>16</v>
      </c>
      <c r="BG71" s="40">
        <f>VLOOKUP("k10+8",$I$2:$J$11,2,FALSE)+IFERROR(VLOOKUP(Karakterlap!$V$7,$A$24:$H$33,8,FALSE),0)</f>
        <v>14</v>
      </c>
      <c r="BH71" s="40">
        <f>VLOOKUP("2k6+6",$I$2:$J$11,2,FALSE)+IFERROR(VLOOKUP(Karakterlap!$V$7,$A$24:$I$33,9,FALSE),0)</f>
        <v>13</v>
      </c>
      <c r="BI71" s="40">
        <f>VLOOKUP("k10+8",$I$2:$J$11,2,FALSE)</f>
        <v>14</v>
      </c>
      <c r="BJ71" s="40">
        <f>VLOOKUP("k6+12",$I$2:$J$11,2,FALSE)+IFERROR(VLOOKUP(Karakterlap!$V$7,$A$24:$J$33,10,FALSE),0)</f>
        <v>16</v>
      </c>
      <c r="BK71" s="40">
        <f>VLOOKUP("k10+8",$I$2:$J$11,2,FALSE)</f>
        <v>14</v>
      </c>
      <c r="BL71" s="40">
        <f>IF((SUM(Karakterlap!$F$3:$F$12)-SUM(BB71:BK71))&lt;0,0,SUM(Karakterlap!$F$3:$F$12)-SUM(BB71:BK71))</f>
        <v>0</v>
      </c>
      <c r="BM71" t="e">
        <f>IF(Karakterlap!$F$3&gt;18,IF((Karakterlap!$F$3-IF(BB71&gt;18,BB71,18))&gt;0,Karakterlap!$F$3-IF(BB71&gt;18,BB71,18),0),0)+IF(Karakterlap!$F$4&gt;18,IF((Karakterlap!$F$4-IF(BC71&gt;18,BC71,18))&gt;0,Karakterlap!$F$4-IF(BC71&gt;18,BC71,18),0),0)+IF(Karakterlap!$F$5&gt;18,IF((Karakterlap!$F$5-IF(BD71&gt;18,BD71,18))&gt;0,Karakterlap!$F$5-IF(BD71&gt;18,BD71,18),0),0)+IF(Karakterlap!$F$6&gt;18,IF((Karakterlap!$F$6-IF(BE71&gt;18,BE71,18))&gt;0,Karakterlap!$F$6-IF(BE71&gt;18,BE71,18),0),0)+IF(Karakterlap!$F$7&gt;18,IF((Karakterlap!$F$7-IF(BF71&gt;18,BF71,18))&gt;0,Karakterlap!$F$7-IF(BF71&gt;18,BF71,18),0),0)+IF(Karakterlap!$F$8&gt;18,IF((Karakterlap!$F$8-IF(BG71&gt;18,BG71,18))&gt;0,Karakterlap!$F$8-IF(BG71&gt;18,BG71,18),0),0)+IF(Karakterlap!$F$9&gt;18,IF((Karakterlap!$F$9-IF(BH71&gt;18,BH71,18))&gt;0,Karakterlap!$F$9-IF(BH71&gt;18,BH71,18),0),0)+IF(Karakterlap!$F$10&gt;18,IF((Karakterlap!$F$10-IF(BI71&gt;18,BI71,18))&gt;0,Karakterlap!$F$10-IF(BI71&gt;18,BI71,18),0),0)+IF(Karakterlap!$F$11&gt;18,IF((Karakterlap!$F$11-IF(BJ71&gt;18,BJ71,18))&gt;0,Karakterlap!$F$11-IF(BJ71&gt;18,BJ71,18),0),0)+IF(Karakterlap!$F$12&gt;18,IF((Karakterlap!$F$12-IF(BK71&gt;18,BK71,18))&gt;0,Karakterlap!$F$12-IF(BK71&gt;18,BK71,18),0),0)</f>
        <v>#VALUE!</v>
      </c>
    </row>
    <row r="72" spans="12:65" x14ac:dyDescent="0.25">
      <c r="L72" s="10" t="s">
        <v>179</v>
      </c>
      <c r="M72">
        <v>0</v>
      </c>
      <c r="N72">
        <v>176</v>
      </c>
      <c r="O72">
        <v>353</v>
      </c>
      <c r="P72">
        <v>721</v>
      </c>
      <c r="Q72">
        <v>1501</v>
      </c>
      <c r="R72">
        <v>3501</v>
      </c>
      <c r="S72">
        <v>7001</v>
      </c>
      <c r="T72">
        <v>10501</v>
      </c>
      <c r="U72">
        <v>21001</v>
      </c>
      <c r="V72">
        <v>48001</v>
      </c>
      <c r="W72">
        <v>78001</v>
      </c>
      <c r="X72">
        <v>108001</v>
      </c>
      <c r="Y72">
        <f>IFERROR(IF(VLOOKUP(L72,Karakterlap!$P$3:$Z$4,10,FALSE)&gt;13,138001+((VLOOKUP(L72,Karakterlap!$P$3:$Z$4,10,FALSE)-13)*38000),138001),138001)</f>
        <v>138001</v>
      </c>
      <c r="Z72" s="10">
        <v>5</v>
      </c>
      <c r="AA72" s="10">
        <v>20</v>
      </c>
      <c r="AB72" s="10">
        <v>75</v>
      </c>
      <c r="AC72" s="10">
        <v>0</v>
      </c>
      <c r="AD72" s="10">
        <f>IFERROR(VLOOKUP(L72,Karakterlap!$P$3:$Z$4,10,FALSE)*9,9)</f>
        <v>9</v>
      </c>
      <c r="AE72" s="10">
        <f>IFERROR(IF(Karakterlap!$P$5="Váltott kaszt",IF(Karakterlap!$P$3=Adattábla!$L72,Karakterlap!$Y$3*3,IF(Karakterlap!$P$4=Adattábla!$L72,(Karakterlap!$Y$4-Adattábla!$I$20)*3,3)),VLOOKUP(Adattábla!$L72,Karakterlap!$P$3:$Z$4,10,FALSE)*3),3)</f>
        <v>3</v>
      </c>
      <c r="AF72" s="10">
        <f>IFERROR(IF(Karakterlap!$P$5="Váltott kaszt",IF(Karakterlap!$P$3=Adattábla!$L72,Karakterlap!$Y$3*3,IF(Karakterlap!$P$4=Adattábla!$L72,(Karakterlap!$Y$4-Adattábla!$I$20)*3,3)),VLOOKUP(Adattábla!$L72,Karakterlap!$P$3:$Z$4,10,FALSE)*3),3)</f>
        <v>3</v>
      </c>
      <c r="AG72" s="10">
        <v>5</v>
      </c>
      <c r="AH72" s="10">
        <f>IF(Karakterlap!$P$5="Iker kaszt",IF(Karakterlap!$P$3=L72,IFERROR((Karakterlap!$P$6*5)+(VLOOKUP(L72,Karakterlap!$P$3:$Z$4,10,FALSE)-Karakterlap!$P$6),5),IF(Karakterlap!$P$4=L72,VLOOKUP(L72,Karakterlap!$P$3:$Z$4,10,FALSE),5)),IF(Karakterlap!$P$5="Váltott kaszt",IF(L72=Karakterlap!$P$3,(Karakterlap!$Y$3+3)*5,VLOOKUP(L72,Karakterlap!$P$3:$Z$4,10,FALSE)*5),IFERROR(VLOOKUP(L72,Karakterlap!$P$3:$Z$4,10,FALSE)*5,5)))</f>
        <v>5</v>
      </c>
      <c r="AI72" s="10">
        <v>0</v>
      </c>
      <c r="AJ72" s="10">
        <v>8</v>
      </c>
      <c r="AK72" s="10">
        <v>7</v>
      </c>
      <c r="AL72">
        <f>IFERROR(VLOOKUP(L72,Karakterlap!$P$3:$Z$4,10,FALSE)*($E$18+5),$E$18+5)</f>
        <v>11</v>
      </c>
      <c r="AM72">
        <f>IFERROR(IF(VLOOKUP(L72,Karakterlap!$P$3:$Z$4,10,FALSE)&gt;1,9+((VLOOKUP(L72,Karakterlap!$P$3:$Z$4,10,FALSE)-1)*(($E$18)+3)),9),9)</f>
        <v>9</v>
      </c>
      <c r="AN72" t="s">
        <v>109</v>
      </c>
      <c r="AO72" t="str">
        <f>IFERROR((IF(Karakterlap!$F$9&gt;10,Karakterlap!$F$9-10,0))+5+((VLOOKUP(L54,Karakterlap!$P$3:$Z$4,10,FALSE)-1)*4),"más kaszt")</f>
        <v>más kaszt</v>
      </c>
      <c r="BA72">
        <f>IFERROR(IF(Karakterlap!$P$6&gt;13,138001+((Karakterlap!$P$6-13)*38000),138001),138001)</f>
        <v>138001</v>
      </c>
      <c r="BB72" s="40">
        <f>VLOOKUP("k10+8",$I$2:$J$11,2,FALSE)+IFERROR(VLOOKUP(Karakterlap!$V$7,$A$24:$C$33,3,FALSE),0)</f>
        <v>14</v>
      </c>
      <c r="BC72" s="40">
        <f>VLOOKUP("k10+8",$I$2:$J$11,2,FALSE)+IFERROR(VLOOKUP(Karakterlap!$V$7,$A$24:$D$33,4,FALSE),0)</f>
        <v>14</v>
      </c>
      <c r="BD72" s="40">
        <f>VLOOKUP("3k6(2x)",$I$2:$J$11,2,FALSE)+IFERROR(VLOOKUP(Karakterlap!$V$7,$A$24:$E$33,5,FALSE),0)</f>
        <v>11</v>
      </c>
      <c r="BE72" s="40">
        <f>VLOOKUP("3k6(2x)",$I$2:$J$11,2,FALSE)+IFERROR(VLOOKUP(Karakterlap!$V$7,$A$24:$F$33,6,FALSE),0)</f>
        <v>11</v>
      </c>
      <c r="BF72" s="40">
        <f>VLOOKUP("k10+10",$I$2:$J$11,2,FALSE)+IFERROR(VLOOKUP(Karakterlap!$V$7,$A$24:$G$33,7,FALSE),0)</f>
        <v>16</v>
      </c>
      <c r="BG72" s="40">
        <f>VLOOKUP("k10+8",$I$2:$J$11,2,FALSE)+IFERROR(VLOOKUP(Karakterlap!$V$7,$A$24:$H$33,8,FALSE),0)</f>
        <v>14</v>
      </c>
      <c r="BH72" s="40">
        <f>VLOOKUP("2k6+6",$I$2:$J$11,2,FALSE)+IFERROR(VLOOKUP(Karakterlap!$V$7,$A$24:$I$33,9,FALSE),0)</f>
        <v>13</v>
      </c>
      <c r="BI72" s="40">
        <f t="shared" ref="BI72:BI89" si="4">VLOOKUP("k10+8",$I$2:$J$11,2,FALSE)</f>
        <v>14</v>
      </c>
      <c r="BJ72" s="40">
        <f>VLOOKUP("k6+12",$I$2:$J$11,2,FALSE)+IFERROR(VLOOKUP(Karakterlap!$V$7,$A$24:$J$33,10,FALSE),0)</f>
        <v>16</v>
      </c>
      <c r="BK72" s="40">
        <f t="shared" ref="BK72:BK89" si="5">VLOOKUP("k10+8",$I$2:$J$11,2,FALSE)</f>
        <v>14</v>
      </c>
      <c r="BL72" s="40">
        <f>IF((SUM(Karakterlap!$F$3:$F$12)-SUM(BB72:BK72))&lt;0,0,SUM(Karakterlap!$F$3:$F$12)-SUM(BB72:BK72))</f>
        <v>0</v>
      </c>
      <c r="BM72" t="e">
        <f>IF(Karakterlap!$F$3&gt;18,IF((Karakterlap!$F$3-IF(BB72&gt;18,BB72,18))&gt;0,Karakterlap!$F$3-IF(BB72&gt;18,BB72,18),0),0)+IF(Karakterlap!$F$4&gt;18,IF((Karakterlap!$F$4-IF(BC72&gt;18,BC72,18))&gt;0,Karakterlap!$F$4-IF(BC72&gt;18,BC72,18),0),0)+IF(Karakterlap!$F$5&gt;18,IF((Karakterlap!$F$5-IF(BD72&gt;18,BD72,18))&gt;0,Karakterlap!$F$5-IF(BD72&gt;18,BD72,18),0),0)+IF(Karakterlap!$F$6&gt;18,IF((Karakterlap!$F$6-IF(BE72&gt;18,BE72,18))&gt;0,Karakterlap!$F$6-IF(BE72&gt;18,BE72,18),0),0)+IF(Karakterlap!$F$7&gt;18,IF((Karakterlap!$F$7-IF(BF72&gt;18,BF72,18))&gt;0,Karakterlap!$F$7-IF(BF72&gt;18,BF72,18),0),0)+IF(Karakterlap!$F$8&gt;18,IF((Karakterlap!$F$8-IF(BG72&gt;18,BG72,18))&gt;0,Karakterlap!$F$8-IF(BG72&gt;18,BG72,18),0),0)+IF(Karakterlap!$F$9&gt;18,IF((Karakterlap!$F$9-IF(BH72&gt;18,BH72,18))&gt;0,Karakterlap!$F$9-IF(BH72&gt;18,BH72,18),0),0)+IF(Karakterlap!$F$10&gt;18,IF((Karakterlap!$F$10-IF(BI72&gt;18,BI72,18))&gt;0,Karakterlap!$F$10-IF(BI72&gt;18,BI72,18),0),0)+IF(Karakterlap!$F$11&gt;18,IF((Karakterlap!$F$11-IF(BJ72&gt;18,BJ72,18))&gt;0,Karakterlap!$F$11-IF(BJ72&gt;18,BJ72,18),0),0)+IF(Karakterlap!$F$12&gt;18,IF((Karakterlap!$F$12-IF(BK72&gt;18,BK72,18))&gt;0,Karakterlap!$F$12-IF(BK72&gt;18,BK72,18),0),0)</f>
        <v>#VALUE!</v>
      </c>
    </row>
    <row r="73" spans="12:65" x14ac:dyDescent="0.25">
      <c r="L73" s="10" t="s">
        <v>180</v>
      </c>
      <c r="M73">
        <v>0</v>
      </c>
      <c r="N73">
        <v>176</v>
      </c>
      <c r="O73">
        <v>353</v>
      </c>
      <c r="P73">
        <v>721</v>
      </c>
      <c r="Q73">
        <v>1501</v>
      </c>
      <c r="R73">
        <v>3501</v>
      </c>
      <c r="S73">
        <v>7001</v>
      </c>
      <c r="T73">
        <v>10501</v>
      </c>
      <c r="U73">
        <v>21001</v>
      </c>
      <c r="V73">
        <v>48001</v>
      </c>
      <c r="W73">
        <v>78001</v>
      </c>
      <c r="X73">
        <v>108001</v>
      </c>
      <c r="Y73">
        <f>IFERROR(IF(VLOOKUP(L73,Karakterlap!$P$3:$Z$4,10,FALSE)&gt;13,138001+((VLOOKUP(L73,Karakterlap!$P$3:$Z$4,10,FALSE)-13)*38000),138001),138001)</f>
        <v>138001</v>
      </c>
      <c r="Z73" s="10">
        <v>5</v>
      </c>
      <c r="AA73" s="10">
        <v>20</v>
      </c>
      <c r="AB73" s="10">
        <v>75</v>
      </c>
      <c r="AC73" s="10">
        <v>0</v>
      </c>
      <c r="AD73" s="10">
        <f>IFERROR(VLOOKUP(L73,Karakterlap!$P$3:$Z$4,10,FALSE)*9,9)</f>
        <v>9</v>
      </c>
      <c r="AE73" s="10">
        <f>IFERROR(IF(Karakterlap!$P$5="Váltott kaszt",IF(Karakterlap!$P$3=Adattábla!$L73,Karakterlap!$Y$3*3,IF(Karakterlap!$P$4=Adattábla!$L73,(Karakterlap!$Y$4-Adattábla!$I$20)*3,3)),VLOOKUP(Adattábla!$L73,Karakterlap!$P$3:$Z$4,10,FALSE)*3),3)</f>
        <v>3</v>
      </c>
      <c r="AF73" s="10">
        <f>IFERROR(IF(Karakterlap!$P$5="Váltott kaszt",IF(Karakterlap!$P$3=Adattábla!$L73,Karakterlap!$Y$3*3,IF(Karakterlap!$P$4=Adattábla!$L73,(Karakterlap!$Y$4-Adattábla!$I$20)*3,3)),VLOOKUP(Adattábla!$L73,Karakterlap!$P$3:$Z$4,10,FALSE)*3),3)</f>
        <v>3</v>
      </c>
      <c r="AG73" s="10">
        <v>5</v>
      </c>
      <c r="AH73" s="10">
        <f>IF(Karakterlap!$P$5="Iker kaszt",IF(Karakterlap!$P$3=L73,IFERROR((Karakterlap!$P$6*5)+(VLOOKUP(L73,Karakterlap!$P$3:$Z$4,10,FALSE)-Karakterlap!$P$6),5),IF(Karakterlap!$P$4=L73,VLOOKUP(L73,Karakterlap!$P$3:$Z$4,10,FALSE),5)),IF(Karakterlap!$P$5="Váltott kaszt",IF(L73=Karakterlap!$P$3,(Karakterlap!$Y$3+3)*5,VLOOKUP(L73,Karakterlap!$P$3:$Z$4,10,FALSE)*5),IFERROR(VLOOKUP(L73,Karakterlap!$P$3:$Z$4,10,FALSE)*5,5)))</f>
        <v>5</v>
      </c>
      <c r="AI73" s="10">
        <v>0</v>
      </c>
      <c r="AJ73" s="10">
        <v>8</v>
      </c>
      <c r="AK73" s="10">
        <v>7</v>
      </c>
      <c r="AL73">
        <f>IFERROR(VLOOKUP(L73,Karakterlap!$P$3:$Z$4,10,FALSE)*($E$18+5),$E$18+5)</f>
        <v>11</v>
      </c>
      <c r="AM73">
        <f>IFERROR(IF(VLOOKUP(L73,Karakterlap!$P$3:$Z$4,10,FALSE)&gt;1,9+((VLOOKUP(L73,Karakterlap!$P$3:$Z$4,10,FALSE)-1)*(($E$18)+3)),9),9)</f>
        <v>9</v>
      </c>
      <c r="AN73" t="s">
        <v>109</v>
      </c>
      <c r="AO73" t="str">
        <f>IFERROR((IF(Karakterlap!$F$9&gt;10,Karakterlap!$F$9-10,0))+5+((VLOOKUP(L54,Karakterlap!$P$3:$Z$4,10,FALSE)-1)*4),"más kaszt")</f>
        <v>más kaszt</v>
      </c>
      <c r="BA73">
        <f>IFERROR(IF(Karakterlap!$P$6&gt;13,138001+((Karakterlap!$P$6-13)*38000),138001),138001)</f>
        <v>138001</v>
      </c>
      <c r="BB73" s="40">
        <f>VLOOKUP("k10+8",$I$2:$J$11,2,FALSE)+IFERROR(VLOOKUP(Karakterlap!$V$7,$A$24:$C$33,3,FALSE),0)</f>
        <v>14</v>
      </c>
      <c r="BC73" s="40">
        <f>VLOOKUP("k10+8",$I$2:$J$11,2,FALSE)+IFERROR(VLOOKUP(Karakterlap!$V$7,$A$24:$D$33,4,FALSE),0)</f>
        <v>14</v>
      </c>
      <c r="BD73" s="40">
        <f>VLOOKUP("3k6(2x)",$I$2:$J$11,2,FALSE)+IFERROR(VLOOKUP(Karakterlap!$V$7,$A$24:$E$33,5,FALSE),0)</f>
        <v>11</v>
      </c>
      <c r="BE73" s="40">
        <f>VLOOKUP("3k6(2x)",$I$2:$J$11,2,FALSE)+IFERROR(VLOOKUP(Karakterlap!$V$7,$A$24:$F$33,6,FALSE),0)</f>
        <v>11</v>
      </c>
      <c r="BF73" s="40">
        <f>VLOOKUP("k10+10",$I$2:$J$11,2,FALSE)+IFERROR(VLOOKUP(Karakterlap!$V$7,$A$24:$G$33,7,FALSE),0)</f>
        <v>16</v>
      </c>
      <c r="BG73" s="40">
        <f>VLOOKUP("k10+8",$I$2:$J$11,2,FALSE)+IFERROR(VLOOKUP(Karakterlap!$V$7,$A$24:$H$33,8,FALSE),0)</f>
        <v>14</v>
      </c>
      <c r="BH73" s="40">
        <f>VLOOKUP("2k6+6",$I$2:$J$11,2,FALSE)+IFERROR(VLOOKUP(Karakterlap!$V$7,$A$24:$I$33,9,FALSE),0)</f>
        <v>13</v>
      </c>
      <c r="BI73" s="40">
        <f t="shared" si="4"/>
        <v>14</v>
      </c>
      <c r="BJ73" s="40">
        <f>VLOOKUP("k6+12",$I$2:$J$11,2,FALSE)+IFERROR(VLOOKUP(Karakterlap!$V$7,$A$24:$J$33,10,FALSE),0)</f>
        <v>16</v>
      </c>
      <c r="BK73" s="40">
        <f t="shared" si="5"/>
        <v>14</v>
      </c>
      <c r="BL73" s="40">
        <f>IF((SUM(Karakterlap!$F$3:$F$12)-SUM(BB73:BK73))&lt;0,0,SUM(Karakterlap!$F$3:$F$12)-SUM(BB73:BK73))</f>
        <v>0</v>
      </c>
      <c r="BM73" t="e">
        <f>IF(Karakterlap!$F$3&gt;18,IF((Karakterlap!$F$3-IF(BB73&gt;18,BB73,18))&gt;0,Karakterlap!$F$3-IF(BB73&gt;18,BB73,18),0),0)+IF(Karakterlap!$F$4&gt;18,IF((Karakterlap!$F$4-IF(BC73&gt;18,BC73,18))&gt;0,Karakterlap!$F$4-IF(BC73&gt;18,BC73,18),0),0)+IF(Karakterlap!$F$5&gt;18,IF((Karakterlap!$F$5-IF(BD73&gt;18,BD73,18))&gt;0,Karakterlap!$F$5-IF(BD73&gt;18,BD73,18),0),0)+IF(Karakterlap!$F$6&gt;18,IF((Karakterlap!$F$6-IF(BE73&gt;18,BE73,18))&gt;0,Karakterlap!$F$6-IF(BE73&gt;18,BE73,18),0),0)+IF(Karakterlap!$F$7&gt;18,IF((Karakterlap!$F$7-IF(BF73&gt;18,BF73,18))&gt;0,Karakterlap!$F$7-IF(BF73&gt;18,BF73,18),0),0)+IF(Karakterlap!$F$8&gt;18,IF((Karakterlap!$F$8-IF(BG73&gt;18,BG73,18))&gt;0,Karakterlap!$F$8-IF(BG73&gt;18,BG73,18),0),0)+IF(Karakterlap!$F$9&gt;18,IF((Karakterlap!$F$9-IF(BH73&gt;18,BH73,18))&gt;0,Karakterlap!$F$9-IF(BH73&gt;18,BH73,18),0),0)+IF(Karakterlap!$F$10&gt;18,IF((Karakterlap!$F$10-IF(BI73&gt;18,BI73,18))&gt;0,Karakterlap!$F$10-IF(BI73&gt;18,BI73,18),0),0)+IF(Karakterlap!$F$11&gt;18,IF((Karakterlap!$F$11-IF(BJ73&gt;18,BJ73,18))&gt;0,Karakterlap!$F$11-IF(BJ73&gt;18,BJ73,18),0),0)+IF(Karakterlap!$F$12&gt;18,IF((Karakterlap!$F$12-IF(BK73&gt;18,BK73,18))&gt;0,Karakterlap!$F$12-IF(BK73&gt;18,BK73,18),0),0)</f>
        <v>#VALUE!</v>
      </c>
    </row>
    <row r="74" spans="12:65" x14ac:dyDescent="0.25">
      <c r="L74" s="10" t="s">
        <v>172</v>
      </c>
      <c r="M74" s="10">
        <v>0</v>
      </c>
      <c r="N74" s="10">
        <v>161</v>
      </c>
      <c r="O74" s="10">
        <v>331</v>
      </c>
      <c r="P74" s="10">
        <v>661</v>
      </c>
      <c r="Q74" s="10">
        <v>1301</v>
      </c>
      <c r="R74" s="10">
        <v>2601</v>
      </c>
      <c r="S74" s="10">
        <v>5001</v>
      </c>
      <c r="T74" s="10">
        <v>9001</v>
      </c>
      <c r="U74" s="10">
        <v>23001</v>
      </c>
      <c r="V74" s="10">
        <v>50001</v>
      </c>
      <c r="W74" s="10">
        <v>90001</v>
      </c>
      <c r="X74" s="10">
        <v>130001</v>
      </c>
      <c r="Y74" s="10">
        <f>IFERROR(IF(VLOOKUP(L74,Karakterlap!$P$3:$Z$4,10,FALSE)&gt;13,165001+((VLOOKUP(L74,Karakterlap!$P$3:$Z$4,10,FALSE)-13)*50000),165001),165001)</f>
        <v>165001</v>
      </c>
      <c r="Z74" s="10">
        <v>5</v>
      </c>
      <c r="AA74" s="10">
        <v>17</v>
      </c>
      <c r="AB74" s="10">
        <v>72</v>
      </c>
      <c r="AC74" s="10">
        <v>0</v>
      </c>
      <c r="AD74" s="10">
        <f>IFERROR(VLOOKUP(L74,Karakterlap!$P$3:$Z$4,10,FALSE)*8,8)</f>
        <v>8</v>
      </c>
      <c r="AE74" s="10">
        <f>IFERROR(IF(Karakterlap!$P$5="Váltott kaszt",IF(Karakterlap!$P$3=Adattábla!$L74,Karakterlap!$Y$3*3,IF(Karakterlap!$P$4=Adattábla!$L74,(Karakterlap!$Y$4-Adattábla!$I$20)*3,3)),VLOOKUP(Adattábla!$L74,Karakterlap!$P$3:$Z$4,10,FALSE)*3),3)</f>
        <v>3</v>
      </c>
      <c r="AF74" s="10">
        <f>IFERROR(IF(Karakterlap!$P$5="Váltott kaszt",IF(Karakterlap!$P$3=Adattábla!$L74,Karakterlap!$Y$3*3,IF(Karakterlap!$P$4=Adattábla!$L74,(Karakterlap!$Y$4-Adattábla!$I$20)*3,3)),VLOOKUP(Adattábla!$L74,Karakterlap!$P$3:$Z$4,10,FALSE)*3),3)</f>
        <v>3</v>
      </c>
      <c r="AG74" s="10">
        <v>6</v>
      </c>
      <c r="AH74" s="10">
        <f>IF(Karakterlap!$P$5="Iker kaszt",IF(Karakterlap!$P$3=L74,IFERROR((Karakterlap!$P$6*10)+(VLOOKUP(L74,Karakterlap!$P$3:$Z$4,10,FALSE)-Karakterlap!$P$6),10),IF(Karakterlap!$P$4=L74,VLOOKUP(L74,Karakterlap!$P$3:$Z$4,10,FALSE),10)),IF(Karakterlap!$P$5="Váltott kaszt",IF(L74=Karakterlap!$P$3,(Karakterlap!$Y$3+3)*10,VLOOKUP(L74,Karakterlap!$P$3:$Z$4,10,FALSE)*10),IFERROR(VLOOKUP(L74,Karakterlap!$P$3:$Z$4,10,FALSE)*10,10)))</f>
        <v>10</v>
      </c>
      <c r="AI74" s="10">
        <v>0</v>
      </c>
      <c r="AJ74" s="10">
        <v>6</v>
      </c>
      <c r="AK74" s="10">
        <v>6</v>
      </c>
      <c r="AL74" s="10">
        <f>IFERROR(VLOOKUP(L74,Karakterlap!$P$3:$Z$4,10,FALSE)*($E$18+2),$E$18+2)</f>
        <v>8</v>
      </c>
      <c r="AM74" s="10">
        <f>IFERROR(IF(VLOOKUP(L74,Karakterlap!$P$3:$Z$4,10,FALSE)&gt;1,9+((VLOOKUP(L74,Karakterlap!$P$3:$Z$4,10,FALSE)-1)*(($E$18)+3)),9),9)</f>
        <v>9</v>
      </c>
      <c r="AN74" s="10" t="s">
        <v>109</v>
      </c>
      <c r="AO74" s="10" t="str">
        <f>IFERROR((IF(Karakterlap!$F$9&gt;10,Karakterlap!$F$9-10,0))+5+((VLOOKUP(L53,Karakterlap!$P$3:$Z$4,10,FALSE)-1)*4),"más kaszt")</f>
        <v>más kaszt</v>
      </c>
      <c r="AP74" s="10"/>
      <c r="AQ74" s="33"/>
      <c r="AR74" s="33"/>
      <c r="AS74" s="33"/>
      <c r="AT74" s="33">
        <f>IFERROR(IF(VLOOKUP(L74,Karakterlap!$P$3:$Z$4,10,FALSE)&gt;3,15,0),0)</f>
        <v>0</v>
      </c>
      <c r="AU74" s="33">
        <v>15</v>
      </c>
      <c r="AV74" s="33"/>
      <c r="AW74" s="33"/>
      <c r="AX74" s="33"/>
      <c r="AY74" s="33"/>
      <c r="AZ74" s="33"/>
      <c r="BA74" s="10">
        <f>IFERROR(IF(Karakterlap!$P$6&gt;13,165001+((Karakterlap!$P$6-13)*50000),165001),165001)</f>
        <v>165001</v>
      </c>
      <c r="BB74" s="40">
        <f>VLOOKUP("2k6+6",$I$2:$J$11,2,FALSE)+IFERROR(VLOOKUP(Karakterlap!$V$7,$A$24:$C$33,3,FALSE),0)</f>
        <v>13</v>
      </c>
      <c r="BC74" s="40">
        <f>VLOOKUP("2k6+6",$I$2:$J$11,2,FALSE)+IFERROR(VLOOKUP(Karakterlap!$V$7,$A$24:$D$33,4,FALSE),0)</f>
        <v>13</v>
      </c>
      <c r="BD74" s="40">
        <f>VLOOKUP("3k6(2x)",$I$2:$J$11,2,FALSE)+IFERROR(VLOOKUP(Karakterlap!$V$7,$A$24:$E$33,5,FALSE),0)</f>
        <v>11</v>
      </c>
      <c r="BE74" s="40">
        <f>VLOOKUP("3k6(2x)",$I$2:$J$11,2,FALSE)+IFERROR(VLOOKUP(Karakterlap!$V$7,$A$24:$F$33,6,FALSE),0)</f>
        <v>11</v>
      </c>
      <c r="BF74" s="40">
        <f>VLOOKUP("k10+8",$I$2:$J$11,2,FALSE)+IFERROR(VLOOKUP(Karakterlap!$V$7,$A$24:$G$33,7,FALSE),0)</f>
        <v>14</v>
      </c>
      <c r="BG74" s="40">
        <f>VLOOKUP("k10+10",$I$2:$J$11,2,FALSE)+IFERROR(VLOOKUP(Karakterlap!$V$7,$A$24:$H$33,8,FALSE),0)</f>
        <v>16</v>
      </c>
      <c r="BH74" s="40">
        <f>VLOOKUP("k10+8",$I$2:$J$11,2,FALSE)+IFERROR(VLOOKUP(Karakterlap!$V$7,$A$24:$I$33,9,FALSE),0)</f>
        <v>14</v>
      </c>
      <c r="BI74" s="40">
        <f t="shared" si="4"/>
        <v>14</v>
      </c>
      <c r="BJ74" s="40">
        <f>VLOOKUP("k6+12",$I$2:$J$11,2,FALSE)+IFERROR(VLOOKUP(Karakterlap!$V$7,$A$24:$J$33,10,FALSE),0)</f>
        <v>16</v>
      </c>
      <c r="BK74" s="40">
        <f t="shared" si="5"/>
        <v>14</v>
      </c>
      <c r="BL74" s="40">
        <f>IF((SUM(Karakterlap!$F$3:$F$12)-SUM(BB74:BK74))&lt;0,0,SUM(Karakterlap!$F$3:$F$12)-SUM(BB74:BK74))</f>
        <v>0</v>
      </c>
      <c r="BM74" t="e">
        <f>IF(Karakterlap!$F$3&gt;18,IF((Karakterlap!$F$3-IF(BB74&gt;18,BB74,18))&gt;0,Karakterlap!$F$3-IF(BB74&gt;18,BB74,18),0),0)+IF(Karakterlap!$F$4&gt;18,IF((Karakterlap!$F$4-IF(BC74&gt;18,BC74,18))&gt;0,Karakterlap!$F$4-IF(BC74&gt;18,BC74,18),0),0)+IF(Karakterlap!$F$5&gt;18,IF((Karakterlap!$F$5-IF(BD74&gt;18,BD74,18))&gt;0,Karakterlap!$F$5-IF(BD74&gt;18,BD74,18),0),0)+IF(Karakterlap!$F$6&gt;18,IF((Karakterlap!$F$6-IF(BE74&gt;18,BE74,18))&gt;0,Karakterlap!$F$6-IF(BE74&gt;18,BE74,18),0),0)+IF(Karakterlap!$F$7&gt;18,IF((Karakterlap!$F$7-IF(BF74&gt;18,BF74,18))&gt;0,Karakterlap!$F$7-IF(BF74&gt;18,BF74,18),0),0)+IF(Karakterlap!$F$8&gt;18,IF((Karakterlap!$F$8-IF(BG74&gt;18,BG74,18))&gt;0,Karakterlap!$F$8-IF(BG74&gt;18,BG74,18),0),0)+IF(Karakterlap!$F$9&gt;18,IF((Karakterlap!$F$9-IF(BH74&gt;18,BH74,18))&gt;0,Karakterlap!$F$9-IF(BH74&gt;18,BH74,18),0),0)+IF(Karakterlap!$F$10&gt;18,IF((Karakterlap!$F$10-IF(BI74&gt;18,BI74,18))&gt;0,Karakterlap!$F$10-IF(BI74&gt;18,BI74,18),0),0)+IF(Karakterlap!$F$11&gt;18,IF((Karakterlap!$F$11-IF(BJ74&gt;18,BJ74,18))&gt;0,Karakterlap!$F$11-IF(BJ74&gt;18,BJ74,18),0),0)+IF(Karakterlap!$F$12&gt;18,IF((Karakterlap!$F$12-IF(BK74&gt;18,BK74,18))&gt;0,Karakterlap!$F$12-IF(BK74&gt;18,BK74,18),0),0)</f>
        <v>#VALUE!</v>
      </c>
    </row>
    <row r="75" spans="12:65" x14ac:dyDescent="0.25">
      <c r="L75" s="10" t="s">
        <v>173</v>
      </c>
      <c r="M75" s="10">
        <v>0</v>
      </c>
      <c r="N75" s="10">
        <v>161</v>
      </c>
      <c r="O75" s="10">
        <v>331</v>
      </c>
      <c r="P75" s="10">
        <v>661</v>
      </c>
      <c r="Q75" s="10">
        <v>1301</v>
      </c>
      <c r="R75" s="10">
        <v>2601</v>
      </c>
      <c r="S75" s="10">
        <v>5001</v>
      </c>
      <c r="T75" s="10">
        <v>9001</v>
      </c>
      <c r="U75" s="10">
        <v>23001</v>
      </c>
      <c r="V75" s="10">
        <v>50001</v>
      </c>
      <c r="W75" s="10">
        <v>90001</v>
      </c>
      <c r="X75" s="10">
        <v>130001</v>
      </c>
      <c r="Y75" s="10">
        <f>IFERROR(IF(VLOOKUP(L75,Karakterlap!$P$3:$Z$4,10,FALSE)&gt;13,165001+((VLOOKUP(L75,Karakterlap!$P$3:$Z$4,10,FALSE)-13)*50000),165001),165001)</f>
        <v>165001</v>
      </c>
      <c r="Z75" s="10">
        <v>5</v>
      </c>
      <c r="AA75" s="10">
        <v>17</v>
      </c>
      <c r="AB75" s="10">
        <v>72</v>
      </c>
      <c r="AC75" s="10">
        <v>0</v>
      </c>
      <c r="AD75" s="10">
        <f>IFERROR(VLOOKUP(L75,Karakterlap!$P$3:$Z$4,10,FALSE)*9,9)</f>
        <v>9</v>
      </c>
      <c r="AE75" s="10">
        <f>IFERROR(IF(Karakterlap!$P$5="Váltott kaszt",IF(Karakterlap!$P$3=Adattábla!$L75,Karakterlap!$Y$3*3,IF(Karakterlap!$P$4=Adattábla!$L75,(Karakterlap!$Y$4-Adattábla!$I$20)*3,3)),VLOOKUP(Adattábla!$L75,Karakterlap!$P$3:$Z$4,10,FALSE)*3),3)</f>
        <v>3</v>
      </c>
      <c r="AF75" s="10">
        <f>IFERROR(IF(Karakterlap!$P$5="Váltott kaszt",IF(Karakterlap!$P$3=Adattábla!$L75,Karakterlap!$Y$3*3,IF(Karakterlap!$P$4=Adattábla!$L75,(Karakterlap!$Y$4-Adattábla!$I$20)*3,3)),VLOOKUP(Adattábla!$L75,Karakterlap!$P$3:$Z$4,10,FALSE)*3),3)</f>
        <v>3</v>
      </c>
      <c r="AG75" s="10">
        <v>6</v>
      </c>
      <c r="AH75" s="10">
        <f>IF(Karakterlap!$P$5="Iker kaszt",IF(Karakterlap!$P$3=L75,IFERROR((Karakterlap!$P$6*10)+(VLOOKUP(L75,Karakterlap!$P$3:$Z$4,10,FALSE)-Karakterlap!$P$6),10),IF(Karakterlap!$P$4=L75,VLOOKUP(L75,Karakterlap!$P$3:$Z$4,10,FALSE),10)),IF(Karakterlap!$P$5="Váltott kaszt",IF(L75=Karakterlap!$P$3,(Karakterlap!$Y$3+3)*10,VLOOKUP(L75,Karakterlap!$P$3:$Z$4,10,FALSE)*10),IFERROR(VLOOKUP(L75,Karakterlap!$P$3:$Z$4,10,FALSE)*10,10)))</f>
        <v>10</v>
      </c>
      <c r="AI75" s="10">
        <v>0</v>
      </c>
      <c r="AJ75" s="10">
        <v>6</v>
      </c>
      <c r="AK75" s="10">
        <v>6</v>
      </c>
      <c r="AL75" s="10">
        <f>IFERROR(VLOOKUP(L75,Karakterlap!$P$3:$Z$4,10,FALSE)*($E$18+2),$E$18+2)</f>
        <v>8</v>
      </c>
      <c r="AM75" s="10">
        <f>IFERROR(IF(VLOOKUP(L75,Karakterlap!$P$3:$Z$4,10,FALSE)&gt;1,9+((VLOOKUP(L75,Karakterlap!$P$3:$Z$4,10,FALSE)-1)*(($E$18)+3)),9),9)</f>
        <v>9</v>
      </c>
      <c r="AN75" s="10" t="s">
        <v>109</v>
      </c>
      <c r="AO75" s="10" t="str">
        <f>IFERROR((IF(Karakterlap!$F$9&gt;10,Karakterlap!$F$9-10,0))+5+((VLOOKUP(L55,Karakterlap!$P$3:$Z$4,10,FALSE)-1)*4),"más kaszt")</f>
        <v>más kaszt</v>
      </c>
      <c r="AP75" s="10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10">
        <f>IFERROR(IF(Karakterlap!$P$6&gt;13,165001+((Karakterlap!$P$6-13)*50000),165001),165001)</f>
        <v>165001</v>
      </c>
      <c r="BB75" s="40">
        <f>VLOOKUP("2k6+6",$I$2:$J$11,2,FALSE)+IFERROR(VLOOKUP(Karakterlap!$V$7,$A$24:$C$33,3,FALSE),0)</f>
        <v>13</v>
      </c>
      <c r="BC75" s="40">
        <f>VLOOKUP("2k6+6",$I$2:$J$11,2,FALSE)+IFERROR(VLOOKUP(Karakterlap!$V$7,$A$24:$D$33,4,FALSE),0)</f>
        <v>13</v>
      </c>
      <c r="BD75" s="40">
        <f>VLOOKUP("3k6(2x)",$I$2:$J$11,2,FALSE)+IFERROR(VLOOKUP(Karakterlap!$V$7,$A$24:$E$33,5,FALSE),0)</f>
        <v>11</v>
      </c>
      <c r="BE75" s="40">
        <f>VLOOKUP("3k6(2x)",$I$2:$J$11,2,FALSE)+IFERROR(VLOOKUP(Karakterlap!$V$7,$A$24:$F$33,6,FALSE),0)</f>
        <v>11</v>
      </c>
      <c r="BF75" s="40">
        <f>VLOOKUP("k10+8",$I$2:$J$11,2,FALSE)+IFERROR(VLOOKUP(Karakterlap!$V$7,$A$24:$G$33,7,FALSE),0)</f>
        <v>14</v>
      </c>
      <c r="BG75" s="40">
        <f>VLOOKUP("k10+10",$I$2:$J$11,2,FALSE)+IFERROR(VLOOKUP(Karakterlap!$V$7,$A$24:$H$33,8,FALSE),0)</f>
        <v>16</v>
      </c>
      <c r="BH75" s="40">
        <f>VLOOKUP("k10+8",$I$2:$J$11,2,FALSE)+IFERROR(VLOOKUP(Karakterlap!$V$7,$A$24:$I$33,9,FALSE),0)</f>
        <v>14</v>
      </c>
      <c r="BI75" s="40">
        <f t="shared" si="4"/>
        <v>14</v>
      </c>
      <c r="BJ75" s="40">
        <f>VLOOKUP("k6+12",$I$2:$J$11,2,FALSE)+IFERROR(VLOOKUP(Karakterlap!$V$7,$A$24:$J$33,10,FALSE),0)</f>
        <v>16</v>
      </c>
      <c r="BK75" s="40">
        <f t="shared" si="5"/>
        <v>14</v>
      </c>
      <c r="BL75" s="40">
        <f>IF((SUM(Karakterlap!$F$3:$F$12)-SUM(BB75:BK75))&lt;0,0,SUM(Karakterlap!$F$3:$F$12)-SUM(BB75:BK75))</f>
        <v>0</v>
      </c>
      <c r="BM75" t="e">
        <f>IF(Karakterlap!$F$3&gt;18,IF((Karakterlap!$F$3-IF(BB75&gt;18,BB75,18))&gt;0,Karakterlap!$F$3-IF(BB75&gt;18,BB75,18),0),0)+IF(Karakterlap!$F$4&gt;18,IF((Karakterlap!$F$4-IF(BC75&gt;18,BC75,18))&gt;0,Karakterlap!$F$4-IF(BC75&gt;18,BC75,18),0),0)+IF(Karakterlap!$F$5&gt;18,IF((Karakterlap!$F$5-IF(BD75&gt;18,BD75,18))&gt;0,Karakterlap!$F$5-IF(BD75&gt;18,BD75,18),0),0)+IF(Karakterlap!$F$6&gt;18,IF((Karakterlap!$F$6-IF(BE75&gt;18,BE75,18))&gt;0,Karakterlap!$F$6-IF(BE75&gt;18,BE75,18),0),0)+IF(Karakterlap!$F$7&gt;18,IF((Karakterlap!$F$7-IF(BF75&gt;18,BF75,18))&gt;0,Karakterlap!$F$7-IF(BF75&gt;18,BF75,18),0),0)+IF(Karakterlap!$F$8&gt;18,IF((Karakterlap!$F$8-IF(BG75&gt;18,BG75,18))&gt;0,Karakterlap!$F$8-IF(BG75&gt;18,BG75,18),0),0)+IF(Karakterlap!$F$9&gt;18,IF((Karakterlap!$F$9-IF(BH75&gt;18,BH75,18))&gt;0,Karakterlap!$F$9-IF(BH75&gt;18,BH75,18),0),0)+IF(Karakterlap!$F$10&gt;18,IF((Karakterlap!$F$10-IF(BI75&gt;18,BI75,18))&gt;0,Karakterlap!$F$10-IF(BI75&gt;18,BI75,18),0),0)+IF(Karakterlap!$F$11&gt;18,IF((Karakterlap!$F$11-IF(BJ75&gt;18,BJ75,18))&gt;0,Karakterlap!$F$11-IF(BJ75&gt;18,BJ75,18),0),0)+IF(Karakterlap!$F$12&gt;18,IF((Karakterlap!$F$12-IF(BK75&gt;18,BK75,18))&gt;0,Karakterlap!$F$12-IF(BK75&gt;18,BK75,18),0),0)</f>
        <v>#VALUE!</v>
      </c>
    </row>
    <row r="76" spans="12:65" x14ac:dyDescent="0.25">
      <c r="L76" s="10" t="s">
        <v>171</v>
      </c>
      <c r="M76" s="10">
        <v>0</v>
      </c>
      <c r="N76" s="10">
        <v>161</v>
      </c>
      <c r="O76" s="10">
        <v>331</v>
      </c>
      <c r="P76" s="10">
        <v>661</v>
      </c>
      <c r="Q76" s="10">
        <v>1301</v>
      </c>
      <c r="R76" s="10">
        <v>2601</v>
      </c>
      <c r="S76" s="10">
        <v>5001</v>
      </c>
      <c r="T76" s="10">
        <v>9001</v>
      </c>
      <c r="U76" s="10">
        <v>23001</v>
      </c>
      <c r="V76" s="10">
        <v>50001</v>
      </c>
      <c r="W76" s="10">
        <v>90001</v>
      </c>
      <c r="X76" s="10">
        <v>130001</v>
      </c>
      <c r="Y76" s="10">
        <f>IFERROR(IF(VLOOKUP(L76,Karakterlap!$P$3:$Z$4,10,FALSE)&gt;13,165001+((VLOOKUP(L76,Karakterlap!$P$3:$Z$4,10,FALSE)-13)*50000),165001),165001)</f>
        <v>165001</v>
      </c>
      <c r="Z76" s="10">
        <v>5</v>
      </c>
      <c r="AA76" s="10">
        <v>17</v>
      </c>
      <c r="AB76" s="10">
        <v>72</v>
      </c>
      <c r="AC76" s="10">
        <v>0</v>
      </c>
      <c r="AD76" s="10">
        <f>IFERROR(VLOOKUP(L76,Karakterlap!$P$3:$Z$4,10,FALSE)*8,8)</f>
        <v>8</v>
      </c>
      <c r="AE76" s="10">
        <f>IFERROR(IF(Karakterlap!$P$5="Váltott kaszt",IF(Karakterlap!$P$3=Adattábla!$L76,Karakterlap!$Y$3*3,IF(Karakterlap!$P$4=Adattábla!$L76,(Karakterlap!$Y$4-Adattábla!$I$20)*3,3)),VLOOKUP(Adattábla!$L76,Karakterlap!$P$3:$Z$4,10,FALSE)*3),3)</f>
        <v>3</v>
      </c>
      <c r="AF76" s="10">
        <f>IFERROR(IF(Karakterlap!$P$5="Váltott kaszt",IF(Karakterlap!$P$3=Adattábla!$L76,Karakterlap!$Y$3*3,IF(Karakterlap!$P$4=Adattábla!$L76,(Karakterlap!$Y$4-Adattábla!$I$20)*3,3)),VLOOKUP(Adattábla!$L76,Karakterlap!$P$3:$Z$4,10,FALSE)*3),3)</f>
        <v>3</v>
      </c>
      <c r="AG76" s="10">
        <v>6</v>
      </c>
      <c r="AH76" s="10">
        <f>IF(Karakterlap!$P$5="Iker kaszt",IF(Karakterlap!$P$3=L76,IFERROR((Karakterlap!$P$6*8)+(VLOOKUP(L76,Karakterlap!$P$3:$Z$4,10,FALSE)-Karakterlap!$P$6),8),IF(Karakterlap!$P$4=L76,VLOOKUP(L76,Karakterlap!$P$3:$Z$4,10,FALSE),8)),IF(Karakterlap!$P$5="Váltott kaszt",IF(L76=Karakterlap!$P$3,(Karakterlap!$Y$3+3)*8,VLOOKUP(L76,Karakterlap!$P$3:$Z$4,10,FALSE)*8),IFERROR(VLOOKUP(L76,Karakterlap!$P$3:$Z$4,10,FALSE)*8,8)))</f>
        <v>8</v>
      </c>
      <c r="AI76" s="10">
        <v>0</v>
      </c>
      <c r="AJ76" s="10">
        <v>6</v>
      </c>
      <c r="AK76" s="10">
        <v>6</v>
      </c>
      <c r="AL76" s="10">
        <f>IFERROR(VLOOKUP(L76,Karakterlap!$P$3:$Z$4,10,FALSE)*($E$18+2),$E$18+2)</f>
        <v>8</v>
      </c>
      <c r="AM76" s="10">
        <f>IFERROR(IF(VLOOKUP(L76,Karakterlap!$P$3:$Z$4,10,FALSE)&gt;1,9+((VLOOKUP(L76,Karakterlap!$P$3:$Z$4,10,FALSE)-1)*(($E$18)+3)),9),9)</f>
        <v>9</v>
      </c>
      <c r="AN76" s="10" t="s">
        <v>109</v>
      </c>
      <c r="AO76" s="10" t="str">
        <f>IFERROR((IF(Karakterlap!$F$9&gt;10,Karakterlap!$F$9-10,0))+5+((VLOOKUP(L50,Karakterlap!$P$3:$Z$4,10,FALSE)-1)*4),"más kaszt")</f>
        <v>más kaszt</v>
      </c>
      <c r="AP76" s="10"/>
      <c r="AQ76" s="33"/>
      <c r="AR76" s="33"/>
      <c r="AS76" s="33"/>
      <c r="AT76" s="33">
        <v>10</v>
      </c>
      <c r="AU76" s="33">
        <f>IFERROR(IF(VLOOKUP(L76,Karakterlap!$P$3:$Z$4,10,FALSE)&gt;3,15,0),0)</f>
        <v>0</v>
      </c>
      <c r="AV76" s="33"/>
      <c r="AW76" s="33">
        <v>35</v>
      </c>
      <c r="AX76" s="33"/>
      <c r="AY76" s="33"/>
      <c r="AZ76" s="33"/>
      <c r="BA76" s="10">
        <f>IFERROR(IF(Karakterlap!$P$6&gt;13,165001+((Karakterlap!$P$6-13)*50000),165001),165001)</f>
        <v>165001</v>
      </c>
      <c r="BB76" s="40">
        <f>VLOOKUP("2k6+6",$I$2:$J$11,2,FALSE)+IFERROR(VLOOKUP(Karakterlap!$V$7,$A$24:$C$33,3,FALSE),0)</f>
        <v>13</v>
      </c>
      <c r="BC76" s="40">
        <f>VLOOKUP("2k6+6",$I$2:$J$11,2,FALSE)+IFERROR(VLOOKUP(Karakterlap!$V$7,$A$24:$D$33,4,FALSE),0)</f>
        <v>13</v>
      </c>
      <c r="BD76" s="40">
        <f>VLOOKUP("3k6(2x)",$I$2:$J$11,2,FALSE)+IFERROR(VLOOKUP(Karakterlap!$V$7,$A$24:$E$33,5,FALSE),0)</f>
        <v>11</v>
      </c>
      <c r="BE76" s="40">
        <f>VLOOKUP("3k6(2x)",$I$2:$J$11,2,FALSE)+IFERROR(VLOOKUP(Karakterlap!$V$7,$A$24:$F$33,6,FALSE),0)</f>
        <v>11</v>
      </c>
      <c r="BF76" s="40">
        <f>VLOOKUP("k10+8",$I$2:$J$11,2,FALSE)+IFERROR(VLOOKUP(Karakterlap!$V$7,$A$24:$G$33,7,FALSE),0)</f>
        <v>14</v>
      </c>
      <c r="BG76" s="40">
        <f>VLOOKUP("k10+10",$I$2:$J$11,2,FALSE)+IFERROR(VLOOKUP(Karakterlap!$V$7,$A$24:$H$33,8,FALSE),0)</f>
        <v>16</v>
      </c>
      <c r="BH76" s="40">
        <f>VLOOKUP("k10+8",$I$2:$J$11,2,FALSE)+IFERROR(VLOOKUP(Karakterlap!$V$7,$A$24:$I$33,9,FALSE),0)</f>
        <v>14</v>
      </c>
      <c r="BI76" s="40">
        <f t="shared" si="4"/>
        <v>14</v>
      </c>
      <c r="BJ76" s="40">
        <f>VLOOKUP("k6+12",$I$2:$J$11,2,FALSE)+IFERROR(VLOOKUP(Karakterlap!$V$7,$A$24:$J$33,10,FALSE),0)</f>
        <v>16</v>
      </c>
      <c r="BK76" s="40">
        <f t="shared" si="5"/>
        <v>14</v>
      </c>
      <c r="BL76" s="40">
        <f>IF((SUM(Karakterlap!$F$3:$F$12)-SUM(BB76:BK76))&lt;0,0,SUM(Karakterlap!$F$3:$F$12)-SUM(BB76:BK76))</f>
        <v>0</v>
      </c>
      <c r="BM76" t="e">
        <f>IF(Karakterlap!$F$3&gt;18,IF((Karakterlap!$F$3-IF(BB76&gt;18,BB76,18))&gt;0,Karakterlap!$F$3-IF(BB76&gt;18,BB76,18),0),0)+IF(Karakterlap!$F$4&gt;18,IF((Karakterlap!$F$4-IF(BC76&gt;18,BC76,18))&gt;0,Karakterlap!$F$4-IF(BC76&gt;18,BC76,18),0),0)+IF(Karakterlap!$F$5&gt;18,IF((Karakterlap!$F$5-IF(BD76&gt;18,BD76,18))&gt;0,Karakterlap!$F$5-IF(BD76&gt;18,BD76,18),0),0)+IF(Karakterlap!$F$6&gt;18,IF((Karakterlap!$F$6-IF(BE76&gt;18,BE76,18))&gt;0,Karakterlap!$F$6-IF(BE76&gt;18,BE76,18),0),0)+IF(Karakterlap!$F$7&gt;18,IF((Karakterlap!$F$7-IF(BF76&gt;18,BF76,18))&gt;0,Karakterlap!$F$7-IF(BF76&gt;18,BF76,18),0),0)+IF(Karakterlap!$F$8&gt;18,IF((Karakterlap!$F$8-IF(BG76&gt;18,BG76,18))&gt;0,Karakterlap!$F$8-IF(BG76&gt;18,BG76,18),0),0)+IF(Karakterlap!$F$9&gt;18,IF((Karakterlap!$F$9-IF(BH76&gt;18,BH76,18))&gt;0,Karakterlap!$F$9-IF(BH76&gt;18,BH76,18),0),0)+IF(Karakterlap!$F$10&gt;18,IF((Karakterlap!$F$10-IF(BI76&gt;18,BI76,18))&gt;0,Karakterlap!$F$10-IF(BI76&gt;18,BI76,18),0),0)+IF(Karakterlap!$F$11&gt;18,IF((Karakterlap!$F$11-IF(BJ76&gt;18,BJ76,18))&gt;0,Karakterlap!$F$11-IF(BJ76&gt;18,BJ76,18),0),0)+IF(Karakterlap!$F$12&gt;18,IF((Karakterlap!$F$12-IF(BK76&gt;18,BK76,18))&gt;0,Karakterlap!$F$12-IF(BK76&gt;18,BK76,18),0),0)</f>
        <v>#VALUE!</v>
      </c>
    </row>
    <row r="77" spans="12:65" x14ac:dyDescent="0.25">
      <c r="L77" s="10" t="s">
        <v>169</v>
      </c>
      <c r="M77" s="10">
        <v>0</v>
      </c>
      <c r="N77" s="10">
        <v>161</v>
      </c>
      <c r="O77" s="10">
        <v>331</v>
      </c>
      <c r="P77" s="10">
        <v>661</v>
      </c>
      <c r="Q77" s="10">
        <v>1301</v>
      </c>
      <c r="R77" s="10">
        <v>2601</v>
      </c>
      <c r="S77" s="10">
        <v>5001</v>
      </c>
      <c r="T77" s="10">
        <v>9001</v>
      </c>
      <c r="U77" s="10">
        <v>23001</v>
      </c>
      <c r="V77" s="10">
        <v>50001</v>
      </c>
      <c r="W77" s="10">
        <v>90001</v>
      </c>
      <c r="X77" s="10">
        <v>130001</v>
      </c>
      <c r="Y77" s="10">
        <f>IFERROR(IF(VLOOKUP(L77,Karakterlap!$P$3:$Z$4,10,FALSE)&gt;13,165001+((VLOOKUP(L77,Karakterlap!$P$3:$Z$4,10,FALSE)-13)*50000),165001),165001)</f>
        <v>165001</v>
      </c>
      <c r="Z77" s="10">
        <v>5</v>
      </c>
      <c r="AA77" s="10">
        <v>17</v>
      </c>
      <c r="AB77" s="10">
        <v>72</v>
      </c>
      <c r="AC77" s="10">
        <v>0</v>
      </c>
      <c r="AD77" s="10">
        <f>IFERROR(VLOOKUP(L77,Karakterlap!$P$3:$Z$4,10,FALSE)*8,8)</f>
        <v>8</v>
      </c>
      <c r="AE77" s="10">
        <f>IFERROR(IF(Karakterlap!$P$5="Váltott kaszt",IF(Karakterlap!$P$3=Adattábla!$L77,Karakterlap!$Y$3*3,IF(Karakterlap!$P$4=Adattábla!$L77,(Karakterlap!$Y$4-Adattábla!$I$20)*3,3)),VLOOKUP(Adattábla!$L77,Karakterlap!$P$3:$Z$4,10,FALSE)*3),3)</f>
        <v>3</v>
      </c>
      <c r="AF77" s="10">
        <f>IFERROR(IF(Karakterlap!$P$5="Váltott kaszt",IF(Karakterlap!$P$3=Adattábla!$L77,Karakterlap!$Y$3*3,IF(Karakterlap!$P$4=Adattábla!$L77,(Karakterlap!$Y$4-Adattábla!$I$20)*3,3)),VLOOKUP(Adattábla!$L77,Karakterlap!$P$3:$Z$4,10,FALSE)*3),3)</f>
        <v>3</v>
      </c>
      <c r="AG77" s="10">
        <v>6</v>
      </c>
      <c r="AH77" s="10">
        <f>IF(Karakterlap!$P$5="Iker kaszt",IF(Karakterlap!$P$3=L77,IFERROR((Karakterlap!$P$6*10)+(VLOOKUP(L77,Karakterlap!$P$3:$Z$4,10,FALSE)-Karakterlap!$P$6),10),IF(Karakterlap!$P$4=L77,VLOOKUP(L77,Karakterlap!$P$3:$Z$4,10,FALSE),10)),IF(Karakterlap!$P$5="Váltott kaszt",IF(L77=Karakterlap!$P$3,(Karakterlap!$Y$3+3)*10,VLOOKUP(L77,Karakterlap!$P$3:$Z$4,10,FALSE)*10),IFERROR(VLOOKUP(L77,Karakterlap!$P$3:$Z$4,10,FALSE)*10,10)))</f>
        <v>10</v>
      </c>
      <c r="AI77" s="10">
        <v>0</v>
      </c>
      <c r="AJ77" s="10">
        <v>6</v>
      </c>
      <c r="AK77" s="10">
        <v>6</v>
      </c>
      <c r="AL77" s="10">
        <f>IFERROR(VLOOKUP(L77,Karakterlap!$P$3:$Z$4,10,FALSE)*($E$18+2),$E$18+2)</f>
        <v>8</v>
      </c>
      <c r="AM77" s="10">
        <f>IFERROR(IF(VLOOKUP(L77,Karakterlap!$P$3:$Z$4,10,FALSE)&gt;1,9+((VLOOKUP(L77,Karakterlap!$P$3:$Z$4,10,FALSE)-1)*(($E$18)+3)),9),9)</f>
        <v>9</v>
      </c>
      <c r="AN77" s="10" t="s">
        <v>109</v>
      </c>
      <c r="AO77" s="10" t="str">
        <f>IFERROR((IF(Karakterlap!$F$9&gt;10,Karakterlap!$F$9-10,0))+5+((VLOOKUP(L55,Karakterlap!$P$3:$Z$4,10,FALSE)-1)*4),"más kaszt")</f>
        <v>más kaszt</v>
      </c>
      <c r="AP77" s="10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10">
        <f>IFERROR(IF(Karakterlap!$P$6&gt;13,165001+((Karakterlap!$P$6-13)*50000),165001),165001)</f>
        <v>165001</v>
      </c>
      <c r="BB77" s="40">
        <f>VLOOKUP("2k6+6",$I$2:$J$11,2,FALSE)+IFERROR(VLOOKUP(Karakterlap!$V$7,$A$24:$C$33,3,FALSE),0)</f>
        <v>13</v>
      </c>
      <c r="BC77" s="40">
        <f>VLOOKUP("2k6+6",$I$2:$J$11,2,FALSE)+IFERROR(VLOOKUP(Karakterlap!$V$7,$A$24:$D$33,4,FALSE),0)</f>
        <v>13</v>
      </c>
      <c r="BD77" s="40">
        <f>VLOOKUP("3k6(2x)",$I$2:$J$11,2,FALSE)+IFERROR(VLOOKUP(Karakterlap!$V$7,$A$24:$E$33,5,FALSE),0)</f>
        <v>11</v>
      </c>
      <c r="BE77" s="40">
        <f>VLOOKUP("3k6(2x)",$I$2:$J$11,2,FALSE)+IFERROR(VLOOKUP(Karakterlap!$V$7,$A$24:$F$33,6,FALSE),0)</f>
        <v>11</v>
      </c>
      <c r="BF77" s="40">
        <f>VLOOKUP("k10+8",$I$2:$J$11,2,FALSE)+IFERROR(VLOOKUP(Karakterlap!$V$7,$A$24:$G$33,7,FALSE),0)</f>
        <v>14</v>
      </c>
      <c r="BG77" s="40">
        <f>VLOOKUP("k10+10",$I$2:$J$11,2,FALSE)+IFERROR(VLOOKUP(Karakterlap!$V$7,$A$24:$H$33,8,FALSE),0)</f>
        <v>16</v>
      </c>
      <c r="BH77" s="40">
        <f>VLOOKUP("k10+8",$I$2:$J$11,2,FALSE)+IFERROR(VLOOKUP(Karakterlap!$V$7,$A$24:$I$33,9,FALSE),0)</f>
        <v>14</v>
      </c>
      <c r="BI77" s="40">
        <f t="shared" si="4"/>
        <v>14</v>
      </c>
      <c r="BJ77" s="40">
        <f>VLOOKUP("k6+12",$I$2:$J$11,2,FALSE)+IFERROR(VLOOKUP(Karakterlap!$V$7,$A$24:$J$33,10,FALSE),0)</f>
        <v>16</v>
      </c>
      <c r="BK77" s="40">
        <f t="shared" si="5"/>
        <v>14</v>
      </c>
      <c r="BL77" s="40">
        <f>IF((SUM(Karakterlap!$F$3:$F$12)-SUM(BB77:BK77))&lt;0,0,SUM(Karakterlap!$F$3:$F$12)-SUM(BB77:BK77))</f>
        <v>0</v>
      </c>
      <c r="BM77" t="e">
        <f>IF(Karakterlap!$F$3&gt;18,IF((Karakterlap!$F$3-IF(BB77&gt;18,BB77,18))&gt;0,Karakterlap!$F$3-IF(BB77&gt;18,BB77,18),0),0)+IF(Karakterlap!$F$4&gt;18,IF((Karakterlap!$F$4-IF(BC77&gt;18,BC77,18))&gt;0,Karakterlap!$F$4-IF(BC77&gt;18,BC77,18),0),0)+IF(Karakterlap!$F$5&gt;18,IF((Karakterlap!$F$5-IF(BD77&gt;18,BD77,18))&gt;0,Karakterlap!$F$5-IF(BD77&gt;18,BD77,18),0),0)+IF(Karakterlap!$F$6&gt;18,IF((Karakterlap!$F$6-IF(BE77&gt;18,BE77,18))&gt;0,Karakterlap!$F$6-IF(BE77&gt;18,BE77,18),0),0)+IF(Karakterlap!$F$7&gt;18,IF((Karakterlap!$F$7-IF(BF77&gt;18,BF77,18))&gt;0,Karakterlap!$F$7-IF(BF77&gt;18,BF77,18),0),0)+IF(Karakterlap!$F$8&gt;18,IF((Karakterlap!$F$8-IF(BG77&gt;18,BG77,18))&gt;0,Karakterlap!$F$8-IF(BG77&gt;18,BG77,18),0),0)+IF(Karakterlap!$F$9&gt;18,IF((Karakterlap!$F$9-IF(BH77&gt;18,BH77,18))&gt;0,Karakterlap!$F$9-IF(BH77&gt;18,BH77,18),0),0)+IF(Karakterlap!$F$10&gt;18,IF((Karakterlap!$F$10-IF(BI77&gt;18,BI77,18))&gt;0,Karakterlap!$F$10-IF(BI77&gt;18,BI77,18),0),0)+IF(Karakterlap!$F$11&gt;18,IF((Karakterlap!$F$11-IF(BJ77&gt;18,BJ77,18))&gt;0,Karakterlap!$F$11-IF(BJ77&gt;18,BJ77,18),0),0)+IF(Karakterlap!$F$12&gt;18,IF((Karakterlap!$F$12-IF(BK77&gt;18,BK77,18))&gt;0,Karakterlap!$F$12-IF(BK77&gt;18,BK77,18),0),0)</f>
        <v>#VALUE!</v>
      </c>
    </row>
    <row r="78" spans="12:65" x14ac:dyDescent="0.25">
      <c r="L78" s="10" t="s">
        <v>170</v>
      </c>
      <c r="M78" s="10">
        <v>0</v>
      </c>
      <c r="N78" s="10">
        <v>161</v>
      </c>
      <c r="O78" s="10">
        <v>331</v>
      </c>
      <c r="P78" s="10">
        <v>661</v>
      </c>
      <c r="Q78" s="10">
        <v>1301</v>
      </c>
      <c r="R78" s="10">
        <v>2601</v>
      </c>
      <c r="S78" s="10">
        <v>5001</v>
      </c>
      <c r="T78" s="10">
        <v>9001</v>
      </c>
      <c r="U78" s="10">
        <v>23001</v>
      </c>
      <c r="V78" s="10">
        <v>50001</v>
      </c>
      <c r="W78" s="10">
        <v>90001</v>
      </c>
      <c r="X78" s="10">
        <v>130001</v>
      </c>
      <c r="Y78" s="10">
        <f>IFERROR(IF(VLOOKUP(L78,Karakterlap!$P$3:$Z$4,10,FALSE)&gt;13,165001+((VLOOKUP(L78,Karakterlap!$P$3:$Z$4,10,FALSE)-13)*50000),165001),165001)</f>
        <v>165001</v>
      </c>
      <c r="Z78" s="10">
        <v>5</v>
      </c>
      <c r="AA78" s="10">
        <v>17</v>
      </c>
      <c r="AB78" s="10">
        <v>72</v>
      </c>
      <c r="AC78" s="10">
        <v>0</v>
      </c>
      <c r="AD78" s="10">
        <f>IFERROR(VLOOKUP(L78,Karakterlap!$P$3:$Z$4,10,FALSE)*8,8)</f>
        <v>8</v>
      </c>
      <c r="AE78" s="10">
        <f>IFERROR(IF(Karakterlap!$P$5="Váltott kaszt",IF(Karakterlap!$P$3=Adattábla!$L78,Karakterlap!$Y$3*3,IF(Karakterlap!$P$4=Adattábla!$L78,(Karakterlap!$Y$4-Adattábla!$I$20)*3,3)),VLOOKUP(Adattábla!$L78,Karakterlap!$P$3:$Z$4,10,FALSE)*3),3)</f>
        <v>3</v>
      </c>
      <c r="AF78" s="10">
        <f>IFERROR(IF(Karakterlap!$P$5="Váltott kaszt",IF(Karakterlap!$P$3=Adattábla!$L78,Karakterlap!$Y$3*3,IF(Karakterlap!$P$4=Adattábla!$L78,(Karakterlap!$Y$4-Adattábla!$I$20)*3,3)),VLOOKUP(Adattábla!$L78,Karakterlap!$P$3:$Z$4,10,FALSE)*3),3)</f>
        <v>3</v>
      </c>
      <c r="AG78" s="10">
        <v>6</v>
      </c>
      <c r="AH78" s="10">
        <f>IF(Karakterlap!$P$5="Iker kaszt",IF(Karakterlap!$P$3=L78,IFERROR((Karakterlap!$P$6*10)+(VLOOKUP(L78,Karakterlap!$P$3:$Z$4,10,FALSE)-Karakterlap!$P$6),10),IF(Karakterlap!$P$4=L78,VLOOKUP(L78,Karakterlap!$P$3:$Z$4,10,FALSE),10)),IF(Karakterlap!$P$5="Váltott kaszt",IF(L78=Karakterlap!$P$3,(Karakterlap!$Y$3+3)*10,VLOOKUP(L78,Karakterlap!$P$3:$Z$4,10,FALSE)*10),IFERROR(VLOOKUP(L78,Karakterlap!$P$3:$Z$4,10,FALSE)*10,10)))</f>
        <v>10</v>
      </c>
      <c r="AI78" s="10">
        <v>0</v>
      </c>
      <c r="AJ78" s="10">
        <v>6</v>
      </c>
      <c r="AK78" s="10">
        <v>6</v>
      </c>
      <c r="AL78" s="10">
        <f>IFERROR(VLOOKUP(L78,Karakterlap!$P$3:$Z$4,10,FALSE)*($E$18+2),$E$18+2)</f>
        <v>8</v>
      </c>
      <c r="AM78" s="10">
        <f>IFERROR(IF(VLOOKUP(L78,Karakterlap!$P$3:$Z$4,10,FALSE)&gt;1,9+((VLOOKUP(L78,Karakterlap!$P$3:$Z$4,10,FALSE)-1)*(($E$18)+3)),9),9)</f>
        <v>9</v>
      </c>
      <c r="AN78" s="10" t="s">
        <v>109</v>
      </c>
      <c r="AO78" s="10" t="str">
        <f>IFERROR((IF(Karakterlap!$F$9&gt;10,Karakterlap!$F$9-10,0))+5+((VLOOKUP(L55,Karakterlap!$P$3:$Z$4,10,FALSE)-1)*4),"más kaszt")</f>
        <v>más kaszt</v>
      </c>
      <c r="AP78" s="10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10">
        <f>IFERROR(IF(Karakterlap!$P$6&gt;13,165001+((Karakterlap!$P$6-13)*50000),165001),165001)</f>
        <v>165001</v>
      </c>
      <c r="BB78" s="40">
        <f>VLOOKUP("2k6+6",$I$2:$J$11,2,FALSE)+IFERROR(VLOOKUP(Karakterlap!$V$7,$A$24:$C$33,3,FALSE),0)</f>
        <v>13</v>
      </c>
      <c r="BC78" s="40">
        <f>VLOOKUP("2k6+6",$I$2:$J$11,2,FALSE)+IFERROR(VLOOKUP(Karakterlap!$V$7,$A$24:$D$33,4,FALSE),0)</f>
        <v>13</v>
      </c>
      <c r="BD78" s="40">
        <f>VLOOKUP("3k6(2x)",$I$2:$J$11,2,FALSE)+IFERROR(VLOOKUP(Karakterlap!$V$7,$A$24:$E$33,5,FALSE),0)</f>
        <v>11</v>
      </c>
      <c r="BE78" s="40">
        <f>VLOOKUP("3k6(2x)",$I$2:$J$11,2,FALSE)+IFERROR(VLOOKUP(Karakterlap!$V$7,$A$24:$F$33,6,FALSE),0)</f>
        <v>11</v>
      </c>
      <c r="BF78" s="40">
        <f>VLOOKUP("k10+8",$I$2:$J$11,2,FALSE)+IFERROR(VLOOKUP(Karakterlap!$V$7,$A$24:$G$33,7,FALSE),0)</f>
        <v>14</v>
      </c>
      <c r="BG78" s="40">
        <f>VLOOKUP("k10+10",$I$2:$J$11,2,FALSE)+IFERROR(VLOOKUP(Karakterlap!$V$7,$A$24:$H$33,8,FALSE),0)</f>
        <v>16</v>
      </c>
      <c r="BH78" s="40">
        <f>VLOOKUP("k10+8",$I$2:$J$11,2,FALSE)+IFERROR(VLOOKUP(Karakterlap!$V$7,$A$24:$I$33,9,FALSE),0)</f>
        <v>14</v>
      </c>
      <c r="BI78" s="40">
        <f t="shared" si="4"/>
        <v>14</v>
      </c>
      <c r="BJ78" s="40">
        <f>VLOOKUP("k6+12",$I$2:$J$11,2,FALSE)+IFERROR(VLOOKUP(Karakterlap!$V$7,$A$24:$J$33,10,FALSE),0)</f>
        <v>16</v>
      </c>
      <c r="BK78" s="40">
        <f t="shared" si="5"/>
        <v>14</v>
      </c>
      <c r="BL78" s="40">
        <f>IF((SUM(Karakterlap!$F$3:$F$12)-SUM(BB78:BK78))&lt;0,0,SUM(Karakterlap!$F$3:$F$12)-SUM(BB78:BK78))</f>
        <v>0</v>
      </c>
      <c r="BM78" t="e">
        <f>IF(Karakterlap!$F$3&gt;18,IF((Karakterlap!$F$3-IF(BB78&gt;18,BB78,18))&gt;0,Karakterlap!$F$3-IF(BB78&gt;18,BB78,18),0),0)+IF(Karakterlap!$F$4&gt;18,IF((Karakterlap!$F$4-IF(BC78&gt;18,BC78,18))&gt;0,Karakterlap!$F$4-IF(BC78&gt;18,BC78,18),0),0)+IF(Karakterlap!$F$5&gt;18,IF((Karakterlap!$F$5-IF(BD78&gt;18,BD78,18))&gt;0,Karakterlap!$F$5-IF(BD78&gt;18,BD78,18),0),0)+IF(Karakterlap!$F$6&gt;18,IF((Karakterlap!$F$6-IF(BE78&gt;18,BE78,18))&gt;0,Karakterlap!$F$6-IF(BE78&gt;18,BE78,18),0),0)+IF(Karakterlap!$F$7&gt;18,IF((Karakterlap!$F$7-IF(BF78&gt;18,BF78,18))&gt;0,Karakterlap!$F$7-IF(BF78&gt;18,BF78,18),0),0)+IF(Karakterlap!$F$8&gt;18,IF((Karakterlap!$F$8-IF(BG78&gt;18,BG78,18))&gt;0,Karakterlap!$F$8-IF(BG78&gt;18,BG78,18),0),0)+IF(Karakterlap!$F$9&gt;18,IF((Karakterlap!$F$9-IF(BH78&gt;18,BH78,18))&gt;0,Karakterlap!$F$9-IF(BH78&gt;18,BH78,18),0),0)+IF(Karakterlap!$F$10&gt;18,IF((Karakterlap!$F$10-IF(BI78&gt;18,BI78,18))&gt;0,Karakterlap!$F$10-IF(BI78&gt;18,BI78,18),0),0)+IF(Karakterlap!$F$11&gt;18,IF((Karakterlap!$F$11-IF(BJ78&gt;18,BJ78,18))&gt;0,Karakterlap!$F$11-IF(BJ78&gt;18,BJ78,18),0),0)+IF(Karakterlap!$F$12&gt;18,IF((Karakterlap!$F$12-IF(BK78&gt;18,BK78,18))&gt;0,Karakterlap!$F$12-IF(BK78&gt;18,BK78,18),0),0)</f>
        <v>#VALUE!</v>
      </c>
    </row>
    <row r="79" spans="12:65" x14ac:dyDescent="0.25">
      <c r="L79" s="34" t="s">
        <v>60</v>
      </c>
      <c r="M79" s="34">
        <v>0</v>
      </c>
      <c r="N79" s="34">
        <v>176</v>
      </c>
      <c r="O79" s="34">
        <v>353</v>
      </c>
      <c r="P79" s="34">
        <v>721</v>
      </c>
      <c r="Q79" s="34">
        <v>1501</v>
      </c>
      <c r="R79" s="34">
        <v>3501</v>
      </c>
      <c r="S79" s="34">
        <v>7001</v>
      </c>
      <c r="T79" s="34">
        <v>10501</v>
      </c>
      <c r="U79" s="34">
        <v>21001</v>
      </c>
      <c r="V79" s="34">
        <v>48001</v>
      </c>
      <c r="W79" s="34">
        <v>78001</v>
      </c>
      <c r="X79" s="34">
        <v>108001</v>
      </c>
      <c r="Y79" s="34">
        <f>IFERROR(IF(VLOOKUP(L79,Karakterlap!$P$3:$Z$4,10,FALSE)&gt;13,138001+((VLOOKUP(L79,Karakterlap!$P$3:$Z$4,10,FALSE)-13)*38000),138001),138001)</f>
        <v>138001</v>
      </c>
      <c r="Z79" s="34">
        <v>5</v>
      </c>
      <c r="AA79" s="34">
        <v>20</v>
      </c>
      <c r="AB79" s="34">
        <v>75</v>
      </c>
      <c r="AC79" s="34">
        <v>0</v>
      </c>
      <c r="AD79" s="34">
        <f>IFERROR(VLOOKUP(L79,Karakterlap!$P$3:$Z$4,10,FALSE)*9,9)</f>
        <v>9</v>
      </c>
      <c r="AE79" s="34">
        <f>IFERROR(IF(Karakterlap!$P$5="Váltott kaszt",IF(Karakterlap!$P$3=Adattábla!$L79,Karakterlap!$Y$3*3,IF(Karakterlap!$P$4=Adattábla!$L79,(Karakterlap!$Y$4-Adattábla!$I$20)*3,3)),VLOOKUP(Adattábla!$L79,Karakterlap!$P$3:$Z$4,10,FALSE)*3),3)</f>
        <v>3</v>
      </c>
      <c r="AF79" s="34">
        <f>IFERROR(IF(Karakterlap!$P$5="Váltott kaszt",IF(Karakterlap!$P$3=Adattábla!$L79,Karakterlap!$Y$3*3,IF(Karakterlap!$P$4=Adattábla!$L79,(Karakterlap!$Y$4-Adattábla!$I$20)*3,3)),VLOOKUP(Adattábla!$L79,Karakterlap!$P$3:$Z$4,10,FALSE)*3),3)</f>
        <v>3</v>
      </c>
      <c r="AG79" s="34">
        <v>5</v>
      </c>
      <c r="AH79" s="34">
        <f>IF(Karakterlap!$P$5="Iker kaszt",IF(Karakterlap!$P$3=L79,IFERROR((Karakterlap!$P$6*5)+(VLOOKUP(L79,Karakterlap!$P$3:$Z$4,10,FALSE)-Karakterlap!$P$6),5),IF(Karakterlap!$P$4=L79,VLOOKUP(L79,Karakterlap!$P$3:$Z$4,10,FALSE),5)),IF(Karakterlap!$P$5="Váltott kaszt",IF(L79=Karakterlap!$P$3,(Karakterlap!$Y$3+3)*5,VLOOKUP(L79,Karakterlap!$P$3:$Z$4,10,FALSE)*5),IFERROR(VLOOKUP(L79,Karakterlap!$P$3:$Z$4,10,FALSE)*5,5)))</f>
        <v>5</v>
      </c>
      <c r="AI79" s="34">
        <v>0</v>
      </c>
      <c r="AJ79" s="34">
        <v>8</v>
      </c>
      <c r="AK79" s="34">
        <v>7</v>
      </c>
      <c r="AL79" s="34">
        <f>IFERROR(VLOOKUP(L79,Karakterlap!$P$3:$Z$4,10,FALSE)*($E$18+5),$E$18+5)</f>
        <v>11</v>
      </c>
      <c r="AM79" s="34">
        <f>IFERROR(VLOOKUP(L79,Karakterlap!$P$3:$Z$4,10,FALSE)*($E$18+3),0)</f>
        <v>0</v>
      </c>
      <c r="AN79" s="34" t="s">
        <v>109</v>
      </c>
      <c r="AO79" s="34" t="str">
        <f>IFERROR((IF(Karakterlap!$F$9&gt;10,Karakterlap!$F$9-10,0))+5+((VLOOKUP(L79,Karakterlap!$P$3:$Z$4,10,FALSE)-1)*4),"más kaszt")</f>
        <v>más kaszt</v>
      </c>
      <c r="AP79" s="34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4">
        <f>IFERROR(IF(Karakterlap!$P$6&gt;13,138001+((Karakterlap!$P$6-13)*38000),138001),138001)</f>
        <v>138001</v>
      </c>
      <c r="BB79" s="40">
        <f>VLOOKUP("k10+8",$I$2:$J$11,2,FALSE)+IFERROR(VLOOKUP(Karakterlap!$V$7,$A$24:$C$33,3,FALSE),0)</f>
        <v>14</v>
      </c>
      <c r="BC79" s="40">
        <f>VLOOKUP("k10+8",$I$2:$J$11,2,FALSE)+IFERROR(VLOOKUP(Karakterlap!$V$7,$A$24:$D$33,4,FALSE),0)</f>
        <v>14</v>
      </c>
      <c r="BD79" s="40">
        <f>VLOOKUP("3k6(2x)",$I$2:$J$11,2,FALSE)+IFERROR(VLOOKUP(Karakterlap!$V$7,$A$24:$E$33,5,FALSE),0)</f>
        <v>11</v>
      </c>
      <c r="BE79" s="40">
        <f>VLOOKUP("3k6(2x)",$I$2:$J$11,2,FALSE)+IFERROR(VLOOKUP(Karakterlap!$V$7,$A$24:$F$33,6,FALSE),0)</f>
        <v>11</v>
      </c>
      <c r="BF79" s="40">
        <f>VLOOKUP("k10+10",$I$2:$J$11,2,FALSE)+IFERROR(VLOOKUP(Karakterlap!$V$7,$A$24:$G$33,7,FALSE),0)</f>
        <v>16</v>
      </c>
      <c r="BG79" s="40">
        <f>VLOOKUP("k10+8",$I$2:$J$11,2,FALSE)+IFERROR(VLOOKUP(Karakterlap!$V$7,$A$24:$H$33,8,FALSE),0)</f>
        <v>14</v>
      </c>
      <c r="BH79" s="40">
        <f>VLOOKUP("2k6+6",$I$2:$J$11,2,FALSE)+IFERROR(VLOOKUP(Karakterlap!$V$7,$A$24:$I$33,9,FALSE),0)</f>
        <v>13</v>
      </c>
      <c r="BI79" s="40">
        <f t="shared" si="4"/>
        <v>14</v>
      </c>
      <c r="BJ79" s="40">
        <f>VLOOKUP("k6+12",$I$2:$J$11,2,FALSE)+IFERROR(VLOOKUP(Karakterlap!$V$7,$A$24:$J$33,10,FALSE),0)</f>
        <v>16</v>
      </c>
      <c r="BK79" s="40">
        <f t="shared" si="5"/>
        <v>14</v>
      </c>
      <c r="BL79" s="40">
        <f>IF((SUM(Karakterlap!$F$3:$F$12)-SUM(BB79:BK79))&lt;0,0,SUM(Karakterlap!$F$3:$F$12)-SUM(BB79:BK79))</f>
        <v>0</v>
      </c>
      <c r="BM79" t="e">
        <f>IF(Karakterlap!$F$3&gt;18,IF((Karakterlap!$F$3-IF(BB79&gt;18,BB79,18))&gt;0,Karakterlap!$F$3-IF(BB79&gt;18,BB79,18),0),0)+IF(Karakterlap!$F$4&gt;18,IF((Karakterlap!$F$4-IF(BC79&gt;18,BC79,18))&gt;0,Karakterlap!$F$4-IF(BC79&gt;18,BC79,18),0),0)+IF(Karakterlap!$F$5&gt;18,IF((Karakterlap!$F$5-IF(BD79&gt;18,BD79,18))&gt;0,Karakterlap!$F$5-IF(BD79&gt;18,BD79,18),0),0)+IF(Karakterlap!$F$6&gt;18,IF((Karakterlap!$F$6-IF(BE79&gt;18,BE79,18))&gt;0,Karakterlap!$F$6-IF(BE79&gt;18,BE79,18),0),0)+IF(Karakterlap!$F$7&gt;18,IF((Karakterlap!$F$7-IF(BF79&gt;18,BF79,18))&gt;0,Karakterlap!$F$7-IF(BF79&gt;18,BF79,18),0),0)+IF(Karakterlap!$F$8&gt;18,IF((Karakterlap!$F$8-IF(BG79&gt;18,BG79,18))&gt;0,Karakterlap!$F$8-IF(BG79&gt;18,BG79,18),0),0)+IF(Karakterlap!$F$9&gt;18,IF((Karakterlap!$F$9-IF(BH79&gt;18,BH79,18))&gt;0,Karakterlap!$F$9-IF(BH79&gt;18,BH79,18),0),0)+IF(Karakterlap!$F$10&gt;18,IF((Karakterlap!$F$10-IF(BI79&gt;18,BI79,18))&gt;0,Karakterlap!$F$10-IF(BI79&gt;18,BI79,18),0),0)+IF(Karakterlap!$F$11&gt;18,IF((Karakterlap!$F$11-IF(BJ79&gt;18,BJ79,18))&gt;0,Karakterlap!$F$11-IF(BJ79&gt;18,BJ79,18),0),0)+IF(Karakterlap!$F$12&gt;18,IF((Karakterlap!$F$12-IF(BK79&gt;18,BK79,18))&gt;0,Karakterlap!$F$12-IF(BK79&gt;18,BK79,18),0),0)</f>
        <v>#VALUE!</v>
      </c>
    </row>
    <row r="80" spans="12:65" x14ac:dyDescent="0.25">
      <c r="L80" s="10" t="s">
        <v>181</v>
      </c>
      <c r="M80" s="10">
        <v>0</v>
      </c>
      <c r="N80" s="10">
        <v>176</v>
      </c>
      <c r="O80" s="10">
        <v>353</v>
      </c>
      <c r="P80" s="10">
        <v>721</v>
      </c>
      <c r="Q80" s="10">
        <v>1501</v>
      </c>
      <c r="R80" s="10">
        <v>3501</v>
      </c>
      <c r="S80" s="10">
        <v>7001</v>
      </c>
      <c r="T80" s="10">
        <v>10501</v>
      </c>
      <c r="U80" s="10">
        <v>21001</v>
      </c>
      <c r="V80" s="10">
        <v>48001</v>
      </c>
      <c r="W80" s="10">
        <v>78001</v>
      </c>
      <c r="X80" s="10">
        <v>108001</v>
      </c>
      <c r="Y80" s="10">
        <f>IFERROR(IF(VLOOKUP(L80,Karakterlap!$P$3:$Z$4,10,FALSE)&gt;13,138001+((VLOOKUP(L80,Karakterlap!$P$3:$Z$4,10,FALSE)-13)*38000),138001),138001)</f>
        <v>138001</v>
      </c>
      <c r="Z80" s="10">
        <v>5</v>
      </c>
      <c r="AA80" s="10">
        <v>20</v>
      </c>
      <c r="AB80" s="10">
        <v>75</v>
      </c>
      <c r="AC80" s="10">
        <v>0</v>
      </c>
      <c r="AD80" s="10">
        <f>IFERROR(VLOOKUP(L80,Karakterlap!$P$3:$Z$4,10,FALSE)*9,9)</f>
        <v>9</v>
      </c>
      <c r="AE80" s="10">
        <f>IFERROR(IF(Karakterlap!$P$5="Váltott kaszt",IF(Karakterlap!$P$3=Adattábla!$L80,Karakterlap!$Y$3*3,IF(Karakterlap!$P$4=Adattábla!$L80,(Karakterlap!$Y$4-Adattábla!$I$20)*3,3)),VLOOKUP(Adattábla!$L80,Karakterlap!$P$3:$Z$4,10,FALSE)*3),3)</f>
        <v>3</v>
      </c>
      <c r="AF80" s="10">
        <f>IFERROR(IF(Karakterlap!$P$5="Váltott kaszt",IF(Karakterlap!$P$3=Adattábla!$L80,Karakterlap!$Y$3*3,IF(Karakterlap!$P$4=Adattábla!$L80,(Karakterlap!$Y$4-Adattábla!$I$20)*3,3)),VLOOKUP(Adattábla!$L80,Karakterlap!$P$3:$Z$4,10,FALSE)*3),3)</f>
        <v>3</v>
      </c>
      <c r="AG80" s="10">
        <v>5</v>
      </c>
      <c r="AH80" s="10">
        <f>IF(Karakterlap!$P$5="Iker kaszt",IF(Karakterlap!$P$3=L80,IFERROR((Karakterlap!$P$6*5)+(VLOOKUP(L80,Karakterlap!$P$3:$Z$4,10,FALSE)-Karakterlap!$P$6),5),IF(Karakterlap!$P$4=L80,VLOOKUP(L80,Karakterlap!$P$3:$Z$4,10,FALSE),5)),IF(Karakterlap!$P$5="Váltott kaszt",IF(L80=Karakterlap!$P$3,(Karakterlap!$Y$3+3)*5,VLOOKUP(L80,Karakterlap!$P$3:$Z$4,10,FALSE)*5),IFERROR(VLOOKUP(L80,Karakterlap!$P$3:$Z$4,10,FALSE)*5,5)))</f>
        <v>5</v>
      </c>
      <c r="AI80" s="10">
        <v>0</v>
      </c>
      <c r="AJ80" s="10">
        <v>8</v>
      </c>
      <c r="AK80" s="10">
        <v>7</v>
      </c>
      <c r="AL80" s="10">
        <f>IFERROR(VLOOKUP(L80,Karakterlap!$P$3:$Z$4,10,FALSE)*($E$18+5),$E$18+5)</f>
        <v>11</v>
      </c>
      <c r="AM80" s="10">
        <f>IFERROR(VLOOKUP(L80,Karakterlap!$P$3:$Z$4,10,FALSE)*($E$18+3),0)</f>
        <v>0</v>
      </c>
      <c r="AN80" s="10" t="s">
        <v>109</v>
      </c>
      <c r="AO80" s="10" t="str">
        <f>IFERROR((IF(Karakterlap!$F$9&gt;10,Karakterlap!$F$9-10,0))+5+((VLOOKUP(L80,Karakterlap!$P$3:$Z$4,10,FALSE)-1)*4),"más kaszt")</f>
        <v>más kaszt</v>
      </c>
      <c r="AP80" s="10"/>
      <c r="AQ80" s="33"/>
      <c r="AR80" s="33">
        <v>15</v>
      </c>
      <c r="AS80" s="33"/>
      <c r="AT80" s="33"/>
      <c r="AU80" s="33"/>
      <c r="AV80" s="33"/>
      <c r="AW80" s="33"/>
      <c r="AX80" s="33"/>
      <c r="AY80" s="33"/>
      <c r="AZ80" s="33"/>
      <c r="BA80" s="10">
        <f>IFERROR(IF(Karakterlap!$P$6&gt;13,138001+((Karakterlap!$P$6-13)*38000),138001),138001)</f>
        <v>138001</v>
      </c>
      <c r="BB80" s="40">
        <f>VLOOKUP("k10+8",$I$2:$J$11,2,FALSE)+IFERROR(VLOOKUP(Karakterlap!$V$7,$A$24:$C$33,3,FALSE),0)</f>
        <v>14</v>
      </c>
      <c r="BC80" s="40">
        <f>VLOOKUP("k10+8",$I$2:$J$11,2,FALSE)+IFERROR(VLOOKUP(Karakterlap!$V$7,$A$24:$D$33,4,FALSE),0)</f>
        <v>14</v>
      </c>
      <c r="BD80" s="40">
        <f>VLOOKUP("3k6(2x)",$I$2:$J$11,2,FALSE)+IFERROR(VLOOKUP(Karakterlap!$V$7,$A$24:$E$33,5,FALSE),0)</f>
        <v>11</v>
      </c>
      <c r="BE80" s="40">
        <f>VLOOKUP("3k6(2x)",$I$2:$J$11,2,FALSE)+IFERROR(VLOOKUP(Karakterlap!$V$7,$A$24:$F$33,6,FALSE),0)</f>
        <v>11</v>
      </c>
      <c r="BF80" s="40">
        <f>VLOOKUP("k10+10",$I$2:$J$11,2,FALSE)+IFERROR(VLOOKUP(Karakterlap!$V$7,$A$24:$G$33,7,FALSE),0)</f>
        <v>16</v>
      </c>
      <c r="BG80" s="40">
        <f>VLOOKUP("k10+8",$I$2:$J$11,2,FALSE)+IFERROR(VLOOKUP(Karakterlap!$V$7,$A$24:$H$33,8,FALSE),0)</f>
        <v>14</v>
      </c>
      <c r="BH80" s="40">
        <f>VLOOKUP("2k6+6",$I$2:$J$11,2,FALSE)+IFERROR(VLOOKUP(Karakterlap!$V$7,$A$24:$I$33,9,FALSE),0)</f>
        <v>13</v>
      </c>
      <c r="BI80" s="40">
        <f t="shared" si="4"/>
        <v>14</v>
      </c>
      <c r="BJ80" s="40">
        <f>VLOOKUP("k6+12",$I$2:$J$11,2,FALSE)+IFERROR(VLOOKUP(Karakterlap!$V$7,$A$24:$J$33,10,FALSE),0)</f>
        <v>16</v>
      </c>
      <c r="BK80" s="40">
        <f t="shared" si="5"/>
        <v>14</v>
      </c>
      <c r="BL80" s="40">
        <f>IF((SUM(Karakterlap!$F$3:$F$12)-SUM(BB80:BK80))&lt;0,0,SUM(Karakterlap!$F$3:$F$12)-SUM(BB80:BK80))</f>
        <v>0</v>
      </c>
      <c r="BM80" t="e">
        <f>IF(Karakterlap!$F$3&gt;18,IF((Karakterlap!$F$3-IF(BB80&gt;18,BB80,18))&gt;0,Karakterlap!$F$3-IF(BB80&gt;18,BB80,18),0),0)+IF(Karakterlap!$F$4&gt;18,IF((Karakterlap!$F$4-IF(BC80&gt;18,BC80,18))&gt;0,Karakterlap!$F$4-IF(BC80&gt;18,BC80,18),0),0)+IF(Karakterlap!$F$5&gt;18,IF((Karakterlap!$F$5-IF(BD80&gt;18,BD80,18))&gt;0,Karakterlap!$F$5-IF(BD80&gt;18,BD80,18),0),0)+IF(Karakterlap!$F$6&gt;18,IF((Karakterlap!$F$6-IF(BE80&gt;18,BE80,18))&gt;0,Karakterlap!$F$6-IF(BE80&gt;18,BE80,18),0),0)+IF(Karakterlap!$F$7&gt;18,IF((Karakterlap!$F$7-IF(BF80&gt;18,BF80,18))&gt;0,Karakterlap!$F$7-IF(BF80&gt;18,BF80,18),0),0)+IF(Karakterlap!$F$8&gt;18,IF((Karakterlap!$F$8-IF(BG80&gt;18,BG80,18))&gt;0,Karakterlap!$F$8-IF(BG80&gt;18,BG80,18),0),0)+IF(Karakterlap!$F$9&gt;18,IF((Karakterlap!$F$9-IF(BH80&gt;18,BH80,18))&gt;0,Karakterlap!$F$9-IF(BH80&gt;18,BH80,18),0),0)+IF(Karakterlap!$F$10&gt;18,IF((Karakterlap!$F$10-IF(BI80&gt;18,BI80,18))&gt;0,Karakterlap!$F$10-IF(BI80&gt;18,BI80,18),0),0)+IF(Karakterlap!$F$11&gt;18,IF((Karakterlap!$F$11-IF(BJ80&gt;18,BJ80,18))&gt;0,Karakterlap!$F$11-IF(BJ80&gt;18,BJ80,18),0),0)+IF(Karakterlap!$F$12&gt;18,IF((Karakterlap!$F$12-IF(BK80&gt;18,BK80,18))&gt;0,Karakterlap!$F$12-IF(BK80&gt;18,BK80,18),0),0)</f>
        <v>#VALUE!</v>
      </c>
    </row>
    <row r="81" spans="12:65" x14ac:dyDescent="0.25">
      <c r="L81" s="10" t="s">
        <v>190</v>
      </c>
      <c r="M81" s="10">
        <v>0</v>
      </c>
      <c r="N81" s="10">
        <v>176</v>
      </c>
      <c r="O81" s="10">
        <v>353</v>
      </c>
      <c r="P81" s="10">
        <v>721</v>
      </c>
      <c r="Q81" s="10">
        <v>1501</v>
      </c>
      <c r="R81" s="10">
        <v>3501</v>
      </c>
      <c r="S81" s="10">
        <v>7001</v>
      </c>
      <c r="T81" s="10">
        <v>10501</v>
      </c>
      <c r="U81" s="10">
        <v>21001</v>
      </c>
      <c r="V81" s="10">
        <v>48001</v>
      </c>
      <c r="W81" s="10">
        <v>78001</v>
      </c>
      <c r="X81" s="10">
        <v>108001</v>
      </c>
      <c r="Y81" s="10">
        <f>IFERROR(IF(VLOOKUP(L81,Karakterlap!$P$3:$Z$4,10,FALSE)&gt;13,138001+((VLOOKUP(L81,Karakterlap!$P$3:$Z$4,10,FALSE)-13)*38000),138001),138001)</f>
        <v>138001</v>
      </c>
      <c r="Z81" s="10">
        <v>5</v>
      </c>
      <c r="AA81" s="10">
        <v>20</v>
      </c>
      <c r="AB81" s="10">
        <v>75</v>
      </c>
      <c r="AC81" s="10">
        <v>0</v>
      </c>
      <c r="AD81" s="10">
        <f>IFERROR(VLOOKUP(L81,Karakterlap!$P$3:$Z$4,10,FALSE)*9,9)</f>
        <v>9</v>
      </c>
      <c r="AE81" s="10">
        <f>IFERROR(IF(Karakterlap!$P$5="Váltott kaszt",IF(Karakterlap!$P$3=Adattábla!$L81,Karakterlap!$Y$3*3,IF(Karakterlap!$P$4=Adattábla!$L81,(Karakterlap!$Y$4-Adattábla!$I$20)*3,3)),VLOOKUP(Adattábla!$L81,Karakterlap!$P$3:$Z$4,10,FALSE)*3),3)</f>
        <v>3</v>
      </c>
      <c r="AF81" s="10">
        <f>IFERROR(IF(Karakterlap!$P$5="Váltott kaszt",IF(Karakterlap!$P$3=Adattábla!$L81,Karakterlap!$Y$3*3,IF(Karakterlap!$P$4=Adattábla!$L81,(Karakterlap!$Y$4-Adattábla!$I$20)*3,3)),VLOOKUP(Adattábla!$L81,Karakterlap!$P$3:$Z$4,10,FALSE)*3),3)</f>
        <v>3</v>
      </c>
      <c r="AG81" s="10">
        <v>10</v>
      </c>
      <c r="AH81" s="10">
        <f>IF(Karakterlap!$P$5="Iker kaszt",IF(Karakterlap!$P$3=L81,IFERROR((Karakterlap!$P$6*5)+(VLOOKUP(L81,Karakterlap!$P$3:$Z$4,10,FALSE)-Karakterlap!$P$6),5),IF(Karakterlap!$P$4=L81,VLOOKUP(L81,Karakterlap!$P$3:$Z$4,10,FALSE),5)),IF(Karakterlap!$P$5="Váltott kaszt",IF(L81=Karakterlap!$P$3,(Karakterlap!$Y$3+3)*5,VLOOKUP(L81,Karakterlap!$P$3:$Z$4,10,FALSE)*5),IFERROR(VLOOKUP(L81,Karakterlap!$P$3:$Z$4,10,FALSE)*5,5)))</f>
        <v>5</v>
      </c>
      <c r="AI81" s="10">
        <v>0</v>
      </c>
      <c r="AJ81" s="10">
        <v>6</v>
      </c>
      <c r="AK81" s="10">
        <v>8</v>
      </c>
      <c r="AL81" s="10">
        <f>IFERROR(VLOOKUP(L81,Karakterlap!$P$3:$Z$4,10,FALSE)*($E$18+6),$E$18+6)</f>
        <v>12</v>
      </c>
      <c r="AM81" s="10">
        <f>IFERROR(IF(VLOOKUP(L81,Karakterlap!$P$3:$Z$4,10,FALSE)&gt;1,5+((VLOOKUP(L81,Karakterlap!$P$3:$Z$4,10,FALSE)-1)*(($E$18/2)+1)),5),5)</f>
        <v>5</v>
      </c>
      <c r="AN81" s="10" t="s">
        <v>109</v>
      </c>
      <c r="AO81" s="10" t="str">
        <f>IFERROR((IF(Karakterlap!$F$9&gt;10,Karakterlap!$F$9-10,0))+5+((VLOOKUP(L81,Karakterlap!$P$3:$Z$4,10,FALSE)-1)*4),"más kaszt")</f>
        <v>más kaszt</v>
      </c>
      <c r="AP81" s="10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10">
        <f>IFERROR(IF(Karakterlap!$P$6&gt;13,138001+((Karakterlap!$P$6-13)*38000),138001),138001)</f>
        <v>138001</v>
      </c>
      <c r="BB81" s="40">
        <f>VLOOKUP("k10+8",$I$2:$J$11,2,FALSE)+IFERROR(VLOOKUP(Karakterlap!$V$7,$A$24:$C$33,3,FALSE),0)</f>
        <v>14</v>
      </c>
      <c r="BC81" s="40">
        <f>VLOOKUP("k10+8",$I$2:$J$11,2,FALSE)+IFERROR(VLOOKUP(Karakterlap!$V$7,$A$24:$D$33,4,FALSE),0)</f>
        <v>14</v>
      </c>
      <c r="BD81" s="40">
        <f>VLOOKUP("3k6(2x)",$I$2:$J$11,2,FALSE)+IFERROR(VLOOKUP(Karakterlap!$V$7,$A$24:$E$33,5,FALSE),0)</f>
        <v>11</v>
      </c>
      <c r="BE81" s="40">
        <f>VLOOKUP("3k6(2x)",$I$2:$J$11,2,FALSE)+IFERROR(VLOOKUP(Karakterlap!$V$7,$A$24:$F$33,6,FALSE),0)</f>
        <v>11</v>
      </c>
      <c r="BF81" s="40">
        <f>VLOOKUP("k10+10",$I$2:$J$11,2,FALSE)+IFERROR(VLOOKUP(Karakterlap!$V$7,$A$24:$G$33,7,FALSE),0)</f>
        <v>16</v>
      </c>
      <c r="BG81" s="40">
        <f>VLOOKUP("k10+8",$I$2:$J$11,2,FALSE)+IFERROR(VLOOKUP(Karakterlap!$V$7,$A$24:$H$33,8,FALSE),0)</f>
        <v>14</v>
      </c>
      <c r="BH81" s="40">
        <f>VLOOKUP("2k6+6",$I$2:$J$11,2,FALSE)+IFERROR(VLOOKUP(Karakterlap!$V$7,$A$24:$I$33,9,FALSE),0)</f>
        <v>13</v>
      </c>
      <c r="BI81" s="40">
        <f t="shared" si="4"/>
        <v>14</v>
      </c>
      <c r="BJ81" s="40">
        <f>VLOOKUP("k6+12",$I$2:$J$11,2,FALSE)+IFERROR(VLOOKUP(Karakterlap!$V$7,$A$24:$J$33,10,FALSE),0)</f>
        <v>16</v>
      </c>
      <c r="BK81" s="40">
        <f t="shared" si="5"/>
        <v>14</v>
      </c>
      <c r="BL81" s="40">
        <f>IF((SUM(Karakterlap!$F$3:$F$12)-SUM(BB81:BK81))&lt;0,0,SUM(Karakterlap!$F$3:$F$12)-SUM(BB81:BK81))</f>
        <v>0</v>
      </c>
      <c r="BM81" t="e">
        <f>IF(Karakterlap!$F$3&gt;18,IF((Karakterlap!$F$3-IF(BB81&gt;18,BB81,18))&gt;0,Karakterlap!$F$3-IF(BB81&gt;18,BB81,18),0),0)+IF(Karakterlap!$F$4&gt;18,IF((Karakterlap!$F$4-IF(BC81&gt;18,BC81,18))&gt;0,Karakterlap!$F$4-IF(BC81&gt;18,BC81,18),0),0)+IF(Karakterlap!$F$5&gt;18,IF((Karakterlap!$F$5-IF(BD81&gt;18,BD81,18))&gt;0,Karakterlap!$F$5-IF(BD81&gt;18,BD81,18),0),0)+IF(Karakterlap!$F$6&gt;18,IF((Karakterlap!$F$6-IF(BE81&gt;18,BE81,18))&gt;0,Karakterlap!$F$6-IF(BE81&gt;18,BE81,18),0),0)+IF(Karakterlap!$F$7&gt;18,IF((Karakterlap!$F$7-IF(BF81&gt;18,BF81,18))&gt;0,Karakterlap!$F$7-IF(BF81&gt;18,BF81,18),0),0)+IF(Karakterlap!$F$8&gt;18,IF((Karakterlap!$F$8-IF(BG81&gt;18,BG81,18))&gt;0,Karakterlap!$F$8-IF(BG81&gt;18,BG81,18),0),0)+IF(Karakterlap!$F$9&gt;18,IF((Karakterlap!$F$9-IF(BH81&gt;18,BH81,18))&gt;0,Karakterlap!$F$9-IF(BH81&gt;18,BH81,18),0),0)+IF(Karakterlap!$F$10&gt;18,IF((Karakterlap!$F$10-IF(BI81&gt;18,BI81,18))&gt;0,Karakterlap!$F$10-IF(BI81&gt;18,BI81,18),0),0)+IF(Karakterlap!$F$11&gt;18,IF((Karakterlap!$F$11-IF(BJ81&gt;18,BJ81,18))&gt;0,Karakterlap!$F$11-IF(BJ81&gt;18,BJ81,18),0),0)+IF(Karakterlap!$F$12&gt;18,IF((Karakterlap!$F$12-IF(BK81&gt;18,BK81,18))&gt;0,Karakterlap!$F$12-IF(BK81&gt;18,BK81,18),0),0)</f>
        <v>#VALUE!</v>
      </c>
    </row>
    <row r="82" spans="12:65" x14ac:dyDescent="0.25">
      <c r="L82" s="10" t="s">
        <v>188</v>
      </c>
      <c r="M82" s="10">
        <v>0</v>
      </c>
      <c r="N82" s="10">
        <v>176</v>
      </c>
      <c r="O82" s="10">
        <v>353</v>
      </c>
      <c r="P82" s="10">
        <v>721</v>
      </c>
      <c r="Q82" s="10">
        <v>1501</v>
      </c>
      <c r="R82" s="10">
        <v>3501</v>
      </c>
      <c r="S82" s="10">
        <v>7001</v>
      </c>
      <c r="T82" s="10">
        <v>10501</v>
      </c>
      <c r="U82" s="10">
        <v>21001</v>
      </c>
      <c r="V82" s="10">
        <v>48001</v>
      </c>
      <c r="W82" s="10">
        <v>78001</v>
      </c>
      <c r="X82" s="10">
        <v>108001</v>
      </c>
      <c r="Y82" s="10">
        <f>IFERROR(IF(VLOOKUP(L82,Karakterlap!$P$3:$Z$4,10,FALSE)&gt;13,138001+((VLOOKUP(L82,Karakterlap!$P$3:$Z$4,10,FALSE)-13)*38000),138001),138001)</f>
        <v>138001</v>
      </c>
      <c r="Z82" s="10">
        <v>8</v>
      </c>
      <c r="AA82" s="10">
        <v>18</v>
      </c>
      <c r="AB82" s="10">
        <v>73</v>
      </c>
      <c r="AC82" s="10">
        <v>5</v>
      </c>
      <c r="AD82" s="10">
        <f>IFERROR(VLOOKUP(L82,Karakterlap!$P$3:$Z$4,10,FALSE)*9,9)</f>
        <v>9</v>
      </c>
      <c r="AE82" s="10">
        <f>IFERROR(IF(Karakterlap!$P$5="Váltott kaszt",IF(Karakterlap!$P$3=Adattábla!$L82,Karakterlap!$Y$3*3,IF(Karakterlap!$P$4=Adattábla!$L82,(Karakterlap!$Y$4-Adattábla!$I$20)*3,3)),VLOOKUP(Adattábla!$L82,Karakterlap!$P$3:$Z$4,10,FALSE)*3),3)</f>
        <v>3</v>
      </c>
      <c r="AF82" s="10">
        <f>IFERROR(IF(Karakterlap!$P$5="Váltott kaszt",IF(Karakterlap!$P$3=Adattábla!$L82,Karakterlap!$Y$3*3,IF(Karakterlap!$P$4=Adattábla!$L82,(Karakterlap!$Y$4-Adattábla!$I$20)*3,3)),VLOOKUP(Adattábla!$L82,Karakterlap!$P$3:$Z$4,10,FALSE)*3),3)</f>
        <v>3</v>
      </c>
      <c r="AG82" s="10">
        <v>2</v>
      </c>
      <c r="AH82" s="10">
        <f>IF(Karakterlap!$P$5="Iker kaszt",IF(Karakterlap!$P$3=L82,IFERROR((Karakterlap!$P$6*6)+(VLOOKUP(L82,Karakterlap!$P$3:$Z$4,10,FALSE)-Karakterlap!$P$6),6),IF(Karakterlap!$P$4=L82,VLOOKUP(L82,Karakterlap!$P$3:$Z$4,10,FALSE),6)),IF(Karakterlap!$P$5="Váltott kaszt",IF(L82=Karakterlap!$P$3,(Karakterlap!$Y$3+3)*6,VLOOKUP(L82,Karakterlap!$P$3:$Z$4,10,FALSE)*6),IFERROR(VLOOKUP(L82,Karakterlap!$P$3:$Z$4,10,FALSE)*6,6)))</f>
        <v>6</v>
      </c>
      <c r="AI82" s="10">
        <v>0</v>
      </c>
      <c r="AJ82" s="10">
        <v>5</v>
      </c>
      <c r="AK82" s="10">
        <v>6</v>
      </c>
      <c r="AL82" s="10">
        <f>IFERROR(VLOOKUP(L82,Karakterlap!$P$3:$Z$4,10,FALSE)*($E$18+4),$E$18+4)</f>
        <v>10</v>
      </c>
      <c r="AM82" s="10">
        <f>IFERROR(IF(VLOOKUP(L82,Karakterlap!$P$3:$Z$4,10,FALSE)&gt;1,9+((VLOOKUP(L82,Karakterlap!$P$3:$Z$4,10,FALSE)-1)*(($E$18/2)+3)),9),9)</f>
        <v>9</v>
      </c>
      <c r="AN82" s="10" t="s">
        <v>109</v>
      </c>
      <c r="AO82" s="10" t="str">
        <f>IFERROR((IF(Karakterlap!$F$9&gt;10,Karakterlap!$F$9-10,0))+5+((VLOOKUP(L82,Karakterlap!$P$3:$Z$4,10,FALSE)-1)*4),"más kaszt")</f>
        <v>más kaszt</v>
      </c>
      <c r="AP82" s="10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10">
        <f>IFERROR(IF(Karakterlap!$P$6&gt;13,138001+((Karakterlap!$P$6-13)*38000),138001),138001)</f>
        <v>138001</v>
      </c>
      <c r="BB82" s="40">
        <f>VLOOKUP("k10+8",$I$2:$J$11,2,FALSE)+IFERROR(VLOOKUP(Karakterlap!$V$7,$A$24:$C$33,3,FALSE),0)</f>
        <v>14</v>
      </c>
      <c r="BC82" s="40">
        <f>VLOOKUP("k10+8",$I$2:$J$11,2,FALSE)+IFERROR(VLOOKUP(Karakterlap!$V$7,$A$24:$D$33,4,FALSE),0)</f>
        <v>14</v>
      </c>
      <c r="BD82" s="40">
        <f>VLOOKUP("3k6(2x)",$I$2:$J$11,2,FALSE)+IFERROR(VLOOKUP(Karakterlap!$V$7,$A$24:$E$33,5,FALSE),0)</f>
        <v>11</v>
      </c>
      <c r="BE82" s="40">
        <f>VLOOKUP("3k6(2x)",$I$2:$J$11,2,FALSE)+IFERROR(VLOOKUP(Karakterlap!$V$7,$A$24:$F$33,6,FALSE),0)</f>
        <v>11</v>
      </c>
      <c r="BF82" s="40">
        <f>VLOOKUP("k10+10",$I$2:$J$11,2,FALSE)+IFERROR(VLOOKUP(Karakterlap!$V$7,$A$24:$G$33,7,FALSE),0)</f>
        <v>16</v>
      </c>
      <c r="BG82" s="40">
        <f>VLOOKUP("k10+8",$I$2:$J$11,2,FALSE)+IFERROR(VLOOKUP(Karakterlap!$V$7,$A$24:$H$33,8,FALSE),0)</f>
        <v>14</v>
      </c>
      <c r="BH82" s="40">
        <f>VLOOKUP("2k6+6",$I$2:$J$11,2,FALSE)+IFERROR(VLOOKUP(Karakterlap!$V$7,$A$24:$I$33,9,FALSE),0)</f>
        <v>13</v>
      </c>
      <c r="BI82" s="40">
        <f t="shared" si="4"/>
        <v>14</v>
      </c>
      <c r="BJ82" s="40">
        <f>VLOOKUP("k6+12",$I$2:$J$11,2,FALSE)+IFERROR(VLOOKUP(Karakterlap!$V$7,$A$24:$J$33,10,FALSE),0)</f>
        <v>16</v>
      </c>
      <c r="BK82" s="40">
        <f t="shared" si="5"/>
        <v>14</v>
      </c>
      <c r="BL82" s="40">
        <f>IF((SUM(Karakterlap!$F$3:$F$12)-SUM(BB82:BK82))&lt;0,0,SUM(Karakterlap!$F$3:$F$12)-SUM(BB82:BK82))</f>
        <v>0</v>
      </c>
      <c r="BM82" t="e">
        <f>IF(Karakterlap!$F$3&gt;18,IF((Karakterlap!$F$3-IF(BB82&gt;18,BB82,18))&gt;0,Karakterlap!$F$3-IF(BB82&gt;18,BB82,18),0),0)+IF(Karakterlap!$F$4&gt;18,IF((Karakterlap!$F$4-IF(BC82&gt;18,BC82,18))&gt;0,Karakterlap!$F$4-IF(BC82&gt;18,BC82,18),0),0)+IF(Karakterlap!$F$5&gt;18,IF((Karakterlap!$F$5-IF(BD82&gt;18,BD82,18))&gt;0,Karakterlap!$F$5-IF(BD82&gt;18,BD82,18),0),0)+IF(Karakterlap!$F$6&gt;18,IF((Karakterlap!$F$6-IF(BE82&gt;18,BE82,18))&gt;0,Karakterlap!$F$6-IF(BE82&gt;18,BE82,18),0),0)+IF(Karakterlap!$F$7&gt;18,IF((Karakterlap!$F$7-IF(BF82&gt;18,BF82,18))&gt;0,Karakterlap!$F$7-IF(BF82&gt;18,BF82,18),0),0)+IF(Karakterlap!$F$8&gt;18,IF((Karakterlap!$F$8-IF(BG82&gt;18,BG82,18))&gt;0,Karakterlap!$F$8-IF(BG82&gt;18,BG82,18),0),0)+IF(Karakterlap!$F$9&gt;18,IF((Karakterlap!$F$9-IF(BH82&gt;18,BH82,18))&gt;0,Karakterlap!$F$9-IF(BH82&gt;18,BH82,18),0),0)+IF(Karakterlap!$F$10&gt;18,IF((Karakterlap!$F$10-IF(BI82&gt;18,BI82,18))&gt;0,Karakterlap!$F$10-IF(BI82&gt;18,BI82,18),0),0)+IF(Karakterlap!$F$11&gt;18,IF((Karakterlap!$F$11-IF(BJ82&gt;18,BJ82,18))&gt;0,Karakterlap!$F$11-IF(BJ82&gt;18,BJ82,18),0),0)+IF(Karakterlap!$F$12&gt;18,IF((Karakterlap!$F$12-IF(BK82&gt;18,BK82,18))&gt;0,Karakterlap!$F$12-IF(BK82&gt;18,BK82,18),0),0)</f>
        <v>#VALUE!</v>
      </c>
    </row>
    <row r="83" spans="12:65" x14ac:dyDescent="0.25">
      <c r="L83" s="10" t="s">
        <v>189</v>
      </c>
      <c r="M83" s="10">
        <v>0</v>
      </c>
      <c r="N83" s="10">
        <v>176</v>
      </c>
      <c r="O83" s="10">
        <v>353</v>
      </c>
      <c r="P83" s="10">
        <v>721</v>
      </c>
      <c r="Q83" s="10">
        <v>1501</v>
      </c>
      <c r="R83" s="10">
        <v>3501</v>
      </c>
      <c r="S83" s="10">
        <v>7001</v>
      </c>
      <c r="T83" s="10">
        <v>10501</v>
      </c>
      <c r="U83" s="10">
        <v>21001</v>
      </c>
      <c r="V83" s="10">
        <v>48001</v>
      </c>
      <c r="W83" s="10">
        <v>78001</v>
      </c>
      <c r="X83" s="10">
        <v>108001</v>
      </c>
      <c r="Y83" s="10">
        <f>IFERROR(IF(VLOOKUP(L83,Karakterlap!$P$3:$Z$4,10,FALSE)&gt;13,138001+((VLOOKUP(L83,Karakterlap!$P$3:$Z$4,10,FALSE)-13)*38000),138001),138001)</f>
        <v>138001</v>
      </c>
      <c r="Z83" s="10">
        <v>5</v>
      </c>
      <c r="AA83" s="10">
        <v>20</v>
      </c>
      <c r="AB83" s="10">
        <v>75</v>
      </c>
      <c r="AC83" s="10">
        <v>0</v>
      </c>
      <c r="AD83" s="10">
        <f>IFERROR(VLOOKUP(L83,Karakterlap!$P$3:$Z$4,10,FALSE)*9,9)</f>
        <v>9</v>
      </c>
      <c r="AE83" s="10">
        <f>IFERROR(IF(Karakterlap!$P$5="Váltott kaszt",IF(Karakterlap!$P$3=Adattábla!$L83,Karakterlap!$Y$3*3,IF(Karakterlap!$P$4=Adattábla!$L83,(Karakterlap!$Y$4-Adattábla!$I$20)*3,3)),VLOOKUP(Adattábla!$L83,Karakterlap!$P$3:$Z$4,10,FALSE)*3),3)</f>
        <v>3</v>
      </c>
      <c r="AF83" s="10">
        <f>IFERROR(IF(Karakterlap!$P$5="Váltott kaszt",IF(Karakterlap!$P$3=Adattábla!$L83,Karakterlap!$Y$3*3,IF(Karakterlap!$P$4=Adattábla!$L83,(Karakterlap!$Y$4-Adattábla!$I$20)*3,3)),VLOOKUP(Adattábla!$L83,Karakterlap!$P$3:$Z$4,10,FALSE)*3),3)</f>
        <v>3</v>
      </c>
      <c r="AG83" s="10">
        <v>5</v>
      </c>
      <c r="AH83" s="10">
        <f>IF(Karakterlap!$P$5="Iker kaszt",IF(Karakterlap!$P$3=L83,IFERROR((Karakterlap!$P$6*5)+(VLOOKUP(L83,Karakterlap!$P$3:$Z$4,10,FALSE)-Karakterlap!$P$6),5),IF(Karakterlap!$P$4=L83,VLOOKUP(L83,Karakterlap!$P$3:$Z$4,10,FALSE),5)),IF(Karakterlap!$P$5="Váltott kaszt",IF(L83=Karakterlap!$P$3,(Karakterlap!$Y$3+3)*5,VLOOKUP(L83,Karakterlap!$P$3:$Z$4,10,FALSE)*5),IFERROR(VLOOKUP(L83,Karakterlap!$P$3:$Z$4,10,FALSE)*5,5)))</f>
        <v>5</v>
      </c>
      <c r="AI83" s="10">
        <v>0</v>
      </c>
      <c r="AJ83" s="10">
        <v>8</v>
      </c>
      <c r="AK83" s="10">
        <v>7</v>
      </c>
      <c r="AL83" s="10">
        <f>IFERROR(VLOOKUP(L83,Karakterlap!$P$3:$Z$4,10,FALSE)*($E$18+5),$E$18+5)</f>
        <v>11</v>
      </c>
      <c r="AM83" s="10">
        <f>IFERROR(VLOOKUP(L83,Karakterlap!$P$3:$Z$4,10,FALSE)*($E$18+3),0)</f>
        <v>0</v>
      </c>
      <c r="AN83" s="10" t="s">
        <v>109</v>
      </c>
      <c r="AO83" s="10" t="str">
        <f>IFERROR((IF(Karakterlap!$F$9&gt;10,Karakterlap!$F$9-10,0))+5+((VLOOKUP(L83,Karakterlap!$P$3:$Z$4,10,FALSE)-1)*4),"más kaszt")</f>
        <v>más kaszt</v>
      </c>
      <c r="AP83" s="10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10">
        <f>IFERROR(IF(Karakterlap!$P$6&gt;13,138001+((Karakterlap!$P$6-13)*38000),138001),138001)</f>
        <v>138001</v>
      </c>
      <c r="BB83" s="40">
        <f>VLOOKUP("k10+8",$I$2:$J$11,2,FALSE)+IFERROR(VLOOKUP(Karakterlap!$V$7,$A$24:$C$33,3,FALSE),0)</f>
        <v>14</v>
      </c>
      <c r="BC83" s="40">
        <f>VLOOKUP("k10+8",$I$2:$J$11,2,FALSE)+IFERROR(VLOOKUP(Karakterlap!$V$7,$A$24:$D$33,4,FALSE),0)</f>
        <v>14</v>
      </c>
      <c r="BD83" s="40">
        <f>VLOOKUP("3k6(2x)",$I$2:$J$11,2,FALSE)+IFERROR(VLOOKUP(Karakterlap!$V$7,$A$24:$E$33,5,FALSE),0)</f>
        <v>11</v>
      </c>
      <c r="BE83" s="40">
        <f>VLOOKUP("3k6(2x)",$I$2:$J$11,2,FALSE)+IFERROR(VLOOKUP(Karakterlap!$V$7,$A$24:$F$33,6,FALSE),0)</f>
        <v>11</v>
      </c>
      <c r="BF83" s="40">
        <f>VLOOKUP("k10+10",$I$2:$J$11,2,FALSE)+IFERROR(VLOOKUP(Karakterlap!$V$7,$A$24:$G$33,7,FALSE),0)</f>
        <v>16</v>
      </c>
      <c r="BG83" s="40">
        <f>VLOOKUP("k10+8",$I$2:$J$11,2,FALSE)+IFERROR(VLOOKUP(Karakterlap!$V$7,$A$24:$H$33,8,FALSE),0)</f>
        <v>14</v>
      </c>
      <c r="BH83" s="40">
        <f>VLOOKUP("2k6+6",$I$2:$J$11,2,FALSE)+IFERROR(VLOOKUP(Karakterlap!$V$7,$A$24:$I$33,9,FALSE),0)</f>
        <v>13</v>
      </c>
      <c r="BI83" s="40">
        <f t="shared" si="4"/>
        <v>14</v>
      </c>
      <c r="BJ83" s="40">
        <f>VLOOKUP("k6+12",$I$2:$J$11,2,FALSE)+IFERROR(VLOOKUP(Karakterlap!$V$7,$A$24:$J$33,10,FALSE),0)</f>
        <v>16</v>
      </c>
      <c r="BK83" s="40">
        <f t="shared" si="5"/>
        <v>14</v>
      </c>
      <c r="BL83" s="40">
        <f>IF((SUM(Karakterlap!$F$3:$F$12)-SUM(BB83:BK83))&lt;0,0,SUM(Karakterlap!$F$3:$F$12)-SUM(BB83:BK83))</f>
        <v>0</v>
      </c>
      <c r="BM83" t="e">
        <f>IF(Karakterlap!$F$3&gt;18,IF((Karakterlap!$F$3-IF(BB83&gt;18,BB83,18))&gt;0,Karakterlap!$F$3-IF(BB83&gt;18,BB83,18),0),0)+IF(Karakterlap!$F$4&gt;18,IF((Karakterlap!$F$4-IF(BC83&gt;18,BC83,18))&gt;0,Karakterlap!$F$4-IF(BC83&gt;18,BC83,18),0),0)+IF(Karakterlap!$F$5&gt;18,IF((Karakterlap!$F$5-IF(BD83&gt;18,BD83,18))&gt;0,Karakterlap!$F$5-IF(BD83&gt;18,BD83,18),0),0)+IF(Karakterlap!$F$6&gt;18,IF((Karakterlap!$F$6-IF(BE83&gt;18,BE83,18))&gt;0,Karakterlap!$F$6-IF(BE83&gt;18,BE83,18),0),0)+IF(Karakterlap!$F$7&gt;18,IF((Karakterlap!$F$7-IF(BF83&gt;18,BF83,18))&gt;0,Karakterlap!$F$7-IF(BF83&gt;18,BF83,18),0),0)+IF(Karakterlap!$F$8&gt;18,IF((Karakterlap!$F$8-IF(BG83&gt;18,BG83,18))&gt;0,Karakterlap!$F$8-IF(BG83&gt;18,BG83,18),0),0)+IF(Karakterlap!$F$9&gt;18,IF((Karakterlap!$F$9-IF(BH83&gt;18,BH83,18))&gt;0,Karakterlap!$F$9-IF(BH83&gt;18,BH83,18),0),0)+IF(Karakterlap!$F$10&gt;18,IF((Karakterlap!$F$10-IF(BI83&gt;18,BI83,18))&gt;0,Karakterlap!$F$10-IF(BI83&gt;18,BI83,18),0),0)+IF(Karakterlap!$F$11&gt;18,IF((Karakterlap!$F$11-IF(BJ83&gt;18,BJ83,18))&gt;0,Karakterlap!$F$11-IF(BJ83&gt;18,BJ83,18),0),0)+IF(Karakterlap!$F$12&gt;18,IF((Karakterlap!$F$12-IF(BK83&gt;18,BK83,18))&gt;0,Karakterlap!$F$12-IF(BK83&gt;18,BK83,18),0),0)</f>
        <v>#VALUE!</v>
      </c>
    </row>
    <row r="84" spans="12:65" x14ac:dyDescent="0.25">
      <c r="L84" s="10" t="s">
        <v>182</v>
      </c>
      <c r="M84" s="10">
        <v>0</v>
      </c>
      <c r="N84" s="10">
        <v>176</v>
      </c>
      <c r="O84" s="10">
        <v>353</v>
      </c>
      <c r="P84" s="10">
        <v>721</v>
      </c>
      <c r="Q84" s="10">
        <v>1501</v>
      </c>
      <c r="R84" s="10">
        <v>3501</v>
      </c>
      <c r="S84" s="10">
        <v>7001</v>
      </c>
      <c r="T84" s="10">
        <v>10501</v>
      </c>
      <c r="U84" s="10">
        <v>21001</v>
      </c>
      <c r="V84" s="10">
        <v>48001</v>
      </c>
      <c r="W84" s="10">
        <v>78001</v>
      </c>
      <c r="X84" s="10">
        <v>108001</v>
      </c>
      <c r="Y84" s="10">
        <f>IFERROR(IF(VLOOKUP(L84,Karakterlap!$P$3:$Z$4,10,FALSE)&gt;13,138001+((VLOOKUP(L84,Karakterlap!$P$3:$Z$4,10,FALSE)-13)*38000),138001),138001)</f>
        <v>138001</v>
      </c>
      <c r="Z84" s="10">
        <v>5</v>
      </c>
      <c r="AA84" s="10">
        <v>20</v>
      </c>
      <c r="AB84" s="10">
        <v>75</v>
      </c>
      <c r="AC84" s="10">
        <v>0</v>
      </c>
      <c r="AD84" s="10">
        <f>IFERROR(VLOOKUP(L84,Karakterlap!$P$3:$Z$4,10,FALSE)*9,9)</f>
        <v>9</v>
      </c>
      <c r="AE84" s="10">
        <f>IFERROR(IF(Karakterlap!$P$5="Váltott kaszt",IF(Karakterlap!$P$3=Adattábla!$L84,Karakterlap!$Y$3*3,IF(Karakterlap!$P$4=Adattábla!$L84,(Karakterlap!$Y$4-Adattábla!$I$20)*3,3)),VLOOKUP(Adattábla!$L84,Karakterlap!$P$3:$Z$4,10,FALSE)*3),3)</f>
        <v>3</v>
      </c>
      <c r="AF84" s="10">
        <f>IFERROR(IF(Karakterlap!$P$5="Váltott kaszt",IF(Karakterlap!$P$3=Adattábla!$L84,Karakterlap!$Y$3*3,IF(Karakterlap!$P$4=Adattábla!$L84,(Karakterlap!$Y$4-Adattábla!$I$20)*3,3)),VLOOKUP(Adattábla!$L84,Karakterlap!$P$3:$Z$4,10,FALSE)*3),3)</f>
        <v>3</v>
      </c>
      <c r="AG84" s="10">
        <v>5</v>
      </c>
      <c r="AH84" s="10">
        <f>IF(Karakterlap!$P$5="Iker kaszt",IF(Karakterlap!$P$3=L84,IFERROR((Karakterlap!$P$6*5)+(VLOOKUP(L84,Karakterlap!$P$3:$Z$4,10,FALSE)-Karakterlap!$P$6),5),IF(Karakterlap!$P$4=L84,VLOOKUP(L84,Karakterlap!$P$3:$Z$4,10,FALSE),5)),IF(Karakterlap!$P$5="Váltott kaszt",IF(L84=Karakterlap!$P$3,(Karakterlap!$Y$3+3)*5,VLOOKUP(L84,Karakterlap!$P$3:$Z$4,10,FALSE)*5),IFERROR(VLOOKUP(L84,Karakterlap!$P$3:$Z$4,10,FALSE)*5,5)))</f>
        <v>5</v>
      </c>
      <c r="AI84" s="10">
        <v>0</v>
      </c>
      <c r="AJ84" s="10">
        <v>8</v>
      </c>
      <c r="AK84" s="10">
        <v>7</v>
      </c>
      <c r="AL84" s="10">
        <f>IFERROR(VLOOKUP(L84,Karakterlap!$P$3:$Z$4,10,FALSE)*($E$18+5),$E$18+5)</f>
        <v>11</v>
      </c>
      <c r="AM84" s="10">
        <f>IFERROR(VLOOKUP(L84,Karakterlap!$P$3:$Z$4,10,FALSE)*($E$18+3),0)</f>
        <v>0</v>
      </c>
      <c r="AN84" s="10" t="s">
        <v>109</v>
      </c>
      <c r="AO84" s="10" t="str">
        <f>IFERROR((IF(Karakterlap!$F$9&gt;10,Karakterlap!$F$9-10,0))+5+((VLOOKUP(L84,Karakterlap!$P$3:$Z$4,10,FALSE)-1)*4),"más kaszt")</f>
        <v>más kaszt</v>
      </c>
      <c r="AP84" s="10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10">
        <f>IFERROR(IF(Karakterlap!$P$6&gt;13,138001+((Karakterlap!$P$6-13)*38000),138001),138001)</f>
        <v>138001</v>
      </c>
      <c r="BB84" s="40">
        <f>VLOOKUP("k10+8",$I$2:$J$11,2,FALSE)+IFERROR(VLOOKUP(Karakterlap!$V$7,$A$24:$C$33,3,FALSE),0)</f>
        <v>14</v>
      </c>
      <c r="BC84" s="40">
        <f>VLOOKUP("k10+8",$I$2:$J$11,2,FALSE)+IFERROR(VLOOKUP(Karakterlap!$V$7,$A$24:$D$33,4,FALSE),0)</f>
        <v>14</v>
      </c>
      <c r="BD84" s="40">
        <f>VLOOKUP("3k6(2x)",$I$2:$J$11,2,FALSE)+IFERROR(VLOOKUP(Karakterlap!$V$7,$A$24:$E$33,5,FALSE),0)</f>
        <v>11</v>
      </c>
      <c r="BE84" s="40">
        <f>VLOOKUP("3k6(2x)",$I$2:$J$11,2,FALSE)+IFERROR(VLOOKUP(Karakterlap!$V$7,$A$24:$F$33,6,FALSE),0)</f>
        <v>11</v>
      </c>
      <c r="BF84" s="40">
        <f>VLOOKUP("k10+10",$I$2:$J$11,2,FALSE)+IFERROR(VLOOKUP(Karakterlap!$V$7,$A$24:$G$33,7,FALSE),0)</f>
        <v>16</v>
      </c>
      <c r="BG84" s="40">
        <f>VLOOKUP("k10+8",$I$2:$J$11,2,FALSE)+IFERROR(VLOOKUP(Karakterlap!$V$7,$A$24:$H$33,8,FALSE),0)</f>
        <v>14</v>
      </c>
      <c r="BH84" s="40">
        <f>VLOOKUP("2k6+6",$I$2:$J$11,2,FALSE)+IFERROR(VLOOKUP(Karakterlap!$V$7,$A$24:$I$33,9,FALSE),0)</f>
        <v>13</v>
      </c>
      <c r="BI84" s="40">
        <f t="shared" si="4"/>
        <v>14</v>
      </c>
      <c r="BJ84" s="40">
        <f>VLOOKUP("k6+12",$I$2:$J$11,2,FALSE)+IFERROR(VLOOKUP(Karakterlap!$V$7,$A$24:$J$33,10,FALSE),0)</f>
        <v>16</v>
      </c>
      <c r="BK84" s="40">
        <f t="shared" si="5"/>
        <v>14</v>
      </c>
      <c r="BL84" s="40">
        <f>IF((SUM(Karakterlap!$F$3:$F$12)-SUM(BB84:BK84))&lt;0,0,SUM(Karakterlap!$F$3:$F$12)-SUM(BB84:BK84))</f>
        <v>0</v>
      </c>
      <c r="BM84" t="e">
        <f>IF(Karakterlap!$F$3&gt;18,IF((Karakterlap!$F$3-IF(BB84&gt;18,BB84,18))&gt;0,Karakterlap!$F$3-IF(BB84&gt;18,BB84,18),0),0)+IF(Karakterlap!$F$4&gt;18,IF((Karakterlap!$F$4-IF(BC84&gt;18,BC84,18))&gt;0,Karakterlap!$F$4-IF(BC84&gt;18,BC84,18),0),0)+IF(Karakterlap!$F$5&gt;18,IF((Karakterlap!$F$5-IF(BD84&gt;18,BD84,18))&gt;0,Karakterlap!$F$5-IF(BD84&gt;18,BD84,18),0),0)+IF(Karakterlap!$F$6&gt;18,IF((Karakterlap!$F$6-IF(BE84&gt;18,BE84,18))&gt;0,Karakterlap!$F$6-IF(BE84&gt;18,BE84,18),0),0)+IF(Karakterlap!$F$7&gt;18,IF((Karakterlap!$F$7-IF(BF84&gt;18,BF84,18))&gt;0,Karakterlap!$F$7-IF(BF84&gt;18,BF84,18),0),0)+IF(Karakterlap!$F$8&gt;18,IF((Karakterlap!$F$8-IF(BG84&gt;18,BG84,18))&gt;0,Karakterlap!$F$8-IF(BG84&gt;18,BG84,18),0),0)+IF(Karakterlap!$F$9&gt;18,IF((Karakterlap!$F$9-IF(BH84&gt;18,BH84,18))&gt;0,Karakterlap!$F$9-IF(BH84&gt;18,BH84,18),0),0)+IF(Karakterlap!$F$10&gt;18,IF((Karakterlap!$F$10-IF(BI84&gt;18,BI84,18))&gt;0,Karakterlap!$F$10-IF(BI84&gt;18,BI84,18),0),0)+IF(Karakterlap!$F$11&gt;18,IF((Karakterlap!$F$11-IF(BJ84&gt;18,BJ84,18))&gt;0,Karakterlap!$F$11-IF(BJ84&gt;18,BJ84,18),0),0)+IF(Karakterlap!$F$12&gt;18,IF((Karakterlap!$F$12-IF(BK84&gt;18,BK84,18))&gt;0,Karakterlap!$F$12-IF(BK84&gt;18,BK84,18),0),0)</f>
        <v>#VALUE!</v>
      </c>
    </row>
    <row r="85" spans="12:65" x14ac:dyDescent="0.25">
      <c r="L85" s="10" t="s">
        <v>185</v>
      </c>
      <c r="M85" s="10">
        <v>0</v>
      </c>
      <c r="N85" s="10">
        <v>176</v>
      </c>
      <c r="O85" s="10">
        <v>353</v>
      </c>
      <c r="P85" s="10">
        <v>721</v>
      </c>
      <c r="Q85" s="10">
        <v>1501</v>
      </c>
      <c r="R85" s="10">
        <v>3501</v>
      </c>
      <c r="S85" s="10">
        <v>7001</v>
      </c>
      <c r="T85" s="10">
        <v>10501</v>
      </c>
      <c r="U85" s="10">
        <v>21001</v>
      </c>
      <c r="V85" s="10">
        <v>48001</v>
      </c>
      <c r="W85" s="10">
        <v>78001</v>
      </c>
      <c r="X85" s="10">
        <v>108001</v>
      </c>
      <c r="Y85" s="10">
        <f>IFERROR(IF(VLOOKUP(L85,Karakterlap!$P$3:$Z$4,10,FALSE)&gt;13,138001+((VLOOKUP(L85,Karakterlap!$P$3:$Z$4,10,FALSE)-13)*38000),138001),138001)</f>
        <v>138001</v>
      </c>
      <c r="Z85" s="10">
        <v>5</v>
      </c>
      <c r="AA85" s="10">
        <v>20</v>
      </c>
      <c r="AB85" s="10">
        <v>75</v>
      </c>
      <c r="AC85" s="10">
        <v>0</v>
      </c>
      <c r="AD85" s="10">
        <f>IFERROR(VLOOKUP(L85,Karakterlap!$P$3:$Z$4,10,FALSE)*9,9)</f>
        <v>9</v>
      </c>
      <c r="AE85" s="10">
        <f>IFERROR(IF(Karakterlap!$P$5="Váltott kaszt",IF(Karakterlap!$P$3=Adattábla!$L85,Karakterlap!$Y$3*3,IF(Karakterlap!$P$4=Adattábla!$L85,(Karakterlap!$Y$4-Adattábla!$I$20)*3,3)),VLOOKUP(Adattábla!$L85,Karakterlap!$P$3:$Z$4,10,FALSE)*3),3)</f>
        <v>3</v>
      </c>
      <c r="AF85" s="10">
        <f>IFERROR(IF(Karakterlap!$P$5="Váltott kaszt",IF(Karakterlap!$P$3=Adattábla!$L85,Karakterlap!$Y$3*3,IF(Karakterlap!$P$4=Adattábla!$L85,(Karakterlap!$Y$4-Adattábla!$I$20)*3,3)),VLOOKUP(Adattábla!$L85,Karakterlap!$P$3:$Z$4,10,FALSE)*3),3)</f>
        <v>3</v>
      </c>
      <c r="AG85" s="10">
        <v>5</v>
      </c>
      <c r="AH85" s="10">
        <f>IF(Karakterlap!$P$5="Iker kaszt",IF(Karakterlap!$P$3=L85,IFERROR((Karakterlap!$P$6*5)+(VLOOKUP(L85,Karakterlap!$P$3:$Z$4,10,FALSE)-Karakterlap!$P$6),5),IF(Karakterlap!$P$4=L85,VLOOKUP(L85,Karakterlap!$P$3:$Z$4,10,FALSE),5)),IF(Karakterlap!$P$5="Váltott kaszt",IF(L85=Karakterlap!$P$3,(Karakterlap!$Y$3+3)*5,VLOOKUP(L85,Karakterlap!$P$3:$Z$4,10,FALSE)*5),IFERROR(VLOOKUP(L85,Karakterlap!$P$3:$Z$4,10,FALSE)*5,5)))</f>
        <v>5</v>
      </c>
      <c r="AI85" s="10">
        <v>0</v>
      </c>
      <c r="AJ85" s="10">
        <v>8</v>
      </c>
      <c r="AK85" s="10">
        <v>7</v>
      </c>
      <c r="AL85" s="10">
        <f>IFERROR(VLOOKUP(L85,Karakterlap!$P$3:$Z$4,10,FALSE)*($E$18+5),$E$18+5)</f>
        <v>11</v>
      </c>
      <c r="AM85" s="10">
        <f>IFERROR(VLOOKUP(L85,Karakterlap!$P$3:$Z$4,10,FALSE)*($E$18+3),0)</f>
        <v>0</v>
      </c>
      <c r="AN85" s="10" t="s">
        <v>109</v>
      </c>
      <c r="AO85" s="10" t="str">
        <f>IFERROR((IF(Karakterlap!$F$9&gt;10,Karakterlap!$F$9-10,0))+5+((VLOOKUP(L85,Karakterlap!$P$3:$Z$4,10,FALSE)-1)*4),"más kaszt")</f>
        <v>más kaszt</v>
      </c>
      <c r="AP85" s="10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10">
        <f>IFERROR(IF(Karakterlap!$P$6&gt;13,138001+((Karakterlap!$P$6-13)*38000),138001),138001)</f>
        <v>138001</v>
      </c>
      <c r="BB85" s="40">
        <f>VLOOKUP("k10+8",$I$2:$J$11,2,FALSE)+IFERROR(VLOOKUP(Karakterlap!$V$7,$A$24:$C$33,3,FALSE),0)</f>
        <v>14</v>
      </c>
      <c r="BC85" s="40">
        <f>VLOOKUP("k10+8",$I$2:$J$11,2,FALSE)+IFERROR(VLOOKUP(Karakterlap!$V$7,$A$24:$D$33,4,FALSE),0)</f>
        <v>14</v>
      </c>
      <c r="BD85" s="40">
        <f>VLOOKUP("3k6(2x)",$I$2:$J$11,2,FALSE)+IFERROR(VLOOKUP(Karakterlap!$V$7,$A$24:$E$33,5,FALSE),0)</f>
        <v>11</v>
      </c>
      <c r="BE85" s="40">
        <f>VLOOKUP("3k6(2x)",$I$2:$J$11,2,FALSE)+IFERROR(VLOOKUP(Karakterlap!$V$7,$A$24:$F$33,6,FALSE),0)</f>
        <v>11</v>
      </c>
      <c r="BF85" s="40">
        <f>VLOOKUP("k10+10",$I$2:$J$11,2,FALSE)+IFERROR(VLOOKUP(Karakterlap!$V$7,$A$24:$G$33,7,FALSE),0)</f>
        <v>16</v>
      </c>
      <c r="BG85" s="40">
        <f>VLOOKUP("k10+8",$I$2:$J$11,2,FALSE)+IFERROR(VLOOKUP(Karakterlap!$V$7,$A$24:$H$33,8,FALSE),0)</f>
        <v>14</v>
      </c>
      <c r="BH85" s="40">
        <f>VLOOKUP("2k6+6",$I$2:$J$11,2,FALSE)+IFERROR(VLOOKUP(Karakterlap!$V$7,$A$24:$I$33,9,FALSE),0)</f>
        <v>13</v>
      </c>
      <c r="BI85" s="40">
        <f t="shared" si="4"/>
        <v>14</v>
      </c>
      <c r="BJ85" s="40">
        <f>VLOOKUP("k6+12",$I$2:$J$11,2,FALSE)+IFERROR(VLOOKUP(Karakterlap!$V$7,$A$24:$J$33,10,FALSE),0)</f>
        <v>16</v>
      </c>
      <c r="BK85" s="40">
        <f t="shared" si="5"/>
        <v>14</v>
      </c>
      <c r="BL85" s="40">
        <f>IF((SUM(Karakterlap!$F$3:$F$12)-SUM(BB85:BK85))&lt;0,0,SUM(Karakterlap!$F$3:$F$12)-SUM(BB85:BK85))</f>
        <v>0</v>
      </c>
      <c r="BM85" t="e">
        <f>IF(Karakterlap!$F$3&gt;18,IF((Karakterlap!$F$3-IF(BB85&gt;18,BB85,18))&gt;0,Karakterlap!$F$3-IF(BB85&gt;18,BB85,18),0),0)+IF(Karakterlap!$F$4&gt;18,IF((Karakterlap!$F$4-IF(BC85&gt;18,BC85,18))&gt;0,Karakterlap!$F$4-IF(BC85&gt;18,BC85,18),0),0)+IF(Karakterlap!$F$5&gt;18,IF((Karakterlap!$F$5-IF(BD85&gt;18,BD85,18))&gt;0,Karakterlap!$F$5-IF(BD85&gt;18,BD85,18),0),0)+IF(Karakterlap!$F$6&gt;18,IF((Karakterlap!$F$6-IF(BE85&gt;18,BE85,18))&gt;0,Karakterlap!$F$6-IF(BE85&gt;18,BE85,18),0),0)+IF(Karakterlap!$F$7&gt;18,IF((Karakterlap!$F$7-IF(BF85&gt;18,BF85,18))&gt;0,Karakterlap!$F$7-IF(BF85&gt;18,BF85,18),0),0)+IF(Karakterlap!$F$8&gt;18,IF((Karakterlap!$F$8-IF(BG85&gt;18,BG85,18))&gt;0,Karakterlap!$F$8-IF(BG85&gt;18,BG85,18),0),0)+IF(Karakterlap!$F$9&gt;18,IF((Karakterlap!$F$9-IF(BH85&gt;18,BH85,18))&gt;0,Karakterlap!$F$9-IF(BH85&gt;18,BH85,18),0),0)+IF(Karakterlap!$F$10&gt;18,IF((Karakterlap!$F$10-IF(BI85&gt;18,BI85,18))&gt;0,Karakterlap!$F$10-IF(BI85&gt;18,BI85,18),0),0)+IF(Karakterlap!$F$11&gt;18,IF((Karakterlap!$F$11-IF(BJ85&gt;18,BJ85,18))&gt;0,Karakterlap!$F$11-IF(BJ85&gt;18,BJ85,18),0),0)+IF(Karakterlap!$F$12&gt;18,IF((Karakterlap!$F$12-IF(BK85&gt;18,BK85,18))&gt;0,Karakterlap!$F$12-IF(BK85&gt;18,BK85,18),0),0)</f>
        <v>#VALUE!</v>
      </c>
    </row>
    <row r="86" spans="12:65" x14ac:dyDescent="0.25">
      <c r="L86" s="10" t="s">
        <v>186</v>
      </c>
      <c r="M86" s="10">
        <v>0</v>
      </c>
      <c r="N86" s="10">
        <v>176</v>
      </c>
      <c r="O86" s="10">
        <v>353</v>
      </c>
      <c r="P86" s="10">
        <v>721</v>
      </c>
      <c r="Q86" s="10">
        <v>1501</v>
      </c>
      <c r="R86" s="10">
        <v>3501</v>
      </c>
      <c r="S86" s="10">
        <v>7001</v>
      </c>
      <c r="T86" s="10">
        <v>10501</v>
      </c>
      <c r="U86" s="10">
        <v>21001</v>
      </c>
      <c r="V86" s="10">
        <v>48001</v>
      </c>
      <c r="W86" s="10">
        <v>78001</v>
      </c>
      <c r="X86" s="10">
        <v>108001</v>
      </c>
      <c r="Y86" s="10">
        <f>IFERROR(IF(VLOOKUP(L86,Karakterlap!$P$3:$Z$4,10,FALSE)&gt;13,138001+((VLOOKUP(L86,Karakterlap!$P$3:$Z$4,10,FALSE)-13)*38000),138001),138001)</f>
        <v>138001</v>
      </c>
      <c r="Z86" s="10">
        <v>5</v>
      </c>
      <c r="AA86" s="10">
        <v>20</v>
      </c>
      <c r="AB86" s="10">
        <v>75</v>
      </c>
      <c r="AC86" s="10">
        <v>0</v>
      </c>
      <c r="AD86" s="10">
        <f>IFERROR(VLOOKUP(L86,Karakterlap!$P$3:$Z$4,10,FALSE)*9,9)</f>
        <v>9</v>
      </c>
      <c r="AE86" s="10">
        <f>IFERROR(IF(Karakterlap!$P$5="Váltott kaszt",IF(Karakterlap!$P$3=Adattábla!$L86,Karakterlap!$Y$3*3,IF(Karakterlap!$P$4=Adattábla!$L86,(Karakterlap!$Y$4-Adattábla!$I$20)*3,3)),VLOOKUP(Adattábla!$L86,Karakterlap!$P$3:$Z$4,10,FALSE)*3),3)</f>
        <v>3</v>
      </c>
      <c r="AF86" s="10">
        <f>IFERROR(IF(Karakterlap!$P$5="Váltott kaszt",IF(Karakterlap!$P$3=Adattábla!$L86,Karakterlap!$Y$3*3,IF(Karakterlap!$P$4=Adattábla!$L86,(Karakterlap!$Y$4-Adattábla!$I$20)*3,3)),VLOOKUP(Adattábla!$L86,Karakterlap!$P$3:$Z$4,10,FALSE)*3),3)</f>
        <v>3</v>
      </c>
      <c r="AG86" s="10">
        <v>5</v>
      </c>
      <c r="AH86" s="10">
        <f>IF(Karakterlap!$P$5="Iker kaszt",IF(Karakterlap!$P$3=L86,IFERROR((Karakterlap!$P$6*5)+(VLOOKUP(L86,Karakterlap!$P$3:$Z$4,10,FALSE)-Karakterlap!$P$6),5),IF(Karakterlap!$P$4=L86,VLOOKUP(L86,Karakterlap!$P$3:$Z$4,10,FALSE),5)),IF(Karakterlap!$P$5="Váltott kaszt",IF(L86=Karakterlap!$P$3,(Karakterlap!$Y$3+3)*5,VLOOKUP(L86,Karakterlap!$P$3:$Z$4,10,FALSE)*5),IFERROR(VLOOKUP(L86,Karakterlap!$P$3:$Z$4,10,FALSE)*5,5)))</f>
        <v>5</v>
      </c>
      <c r="AI86" s="10">
        <v>0</v>
      </c>
      <c r="AJ86" s="10">
        <v>8</v>
      </c>
      <c r="AK86" s="10">
        <v>7</v>
      </c>
      <c r="AL86" s="10">
        <f>IFERROR(VLOOKUP(L86,Karakterlap!$P$3:$Z$4,10,FALSE)*($E$18+5),$E$18+5)</f>
        <v>11</v>
      </c>
      <c r="AM86" s="10">
        <f>IFERROR(IF(VLOOKUP(L86,Karakterlap!$P$3:$Z$4,10,FALSE)&gt;1,9+((VLOOKUP(L86,Karakterlap!$P$3:$Z$4,10,FALSE)-1)*(($E$18/2)+4)),9),9)</f>
        <v>9</v>
      </c>
      <c r="AN86" s="10" t="s">
        <v>109</v>
      </c>
      <c r="AO86" s="10" t="str">
        <f>IFERROR((IF(Karakterlap!$F$9&gt;10,Karakterlap!$F$9-10,0))+5+((VLOOKUP(L86,Karakterlap!$P$3:$Z$4,10,FALSE)-1)*4),"más kaszt")</f>
        <v>más kaszt</v>
      </c>
      <c r="AP86" s="10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10">
        <f>IFERROR(IF(Karakterlap!$P$6&gt;13,138001+((Karakterlap!$P$6-13)*38000),138001),138001)</f>
        <v>138001</v>
      </c>
      <c r="BB86" s="40">
        <f>VLOOKUP("k10+8",$I$2:$J$11,2,FALSE)+IFERROR(VLOOKUP(Karakterlap!$V$7,$A$24:$C$33,3,FALSE),0)</f>
        <v>14</v>
      </c>
      <c r="BC86" s="40">
        <f>VLOOKUP("k10+8",$I$2:$J$11,2,FALSE)+IFERROR(VLOOKUP(Karakterlap!$V$7,$A$24:$D$33,4,FALSE),0)</f>
        <v>14</v>
      </c>
      <c r="BD86" s="40">
        <f>VLOOKUP("3k6(2x)",$I$2:$J$11,2,FALSE)+IFERROR(VLOOKUP(Karakterlap!$V$7,$A$24:$E$33,5,FALSE),0)</f>
        <v>11</v>
      </c>
      <c r="BE86" s="40">
        <f>VLOOKUP("3k6(2x)",$I$2:$J$11,2,FALSE)+IFERROR(VLOOKUP(Karakterlap!$V$7,$A$24:$F$33,6,FALSE),0)</f>
        <v>11</v>
      </c>
      <c r="BF86" s="40">
        <f>VLOOKUP("k10+10",$I$2:$J$11,2,FALSE)+IFERROR(VLOOKUP(Karakterlap!$V$7,$A$24:$G$33,7,FALSE),0)</f>
        <v>16</v>
      </c>
      <c r="BG86" s="40">
        <f>VLOOKUP("k10+8",$I$2:$J$11,2,FALSE)+IFERROR(VLOOKUP(Karakterlap!$V$7,$A$24:$H$33,8,FALSE),0)</f>
        <v>14</v>
      </c>
      <c r="BH86" s="40">
        <f>VLOOKUP("2k6+6",$I$2:$J$11,2,FALSE)+IFERROR(VLOOKUP(Karakterlap!$V$7,$A$24:$I$33,9,FALSE),0)</f>
        <v>13</v>
      </c>
      <c r="BI86" s="40">
        <f t="shared" si="4"/>
        <v>14</v>
      </c>
      <c r="BJ86" s="40">
        <f>VLOOKUP("k6+12",$I$2:$J$11,2,FALSE)+IFERROR(VLOOKUP(Karakterlap!$V$7,$A$24:$J$33,10,FALSE),0)</f>
        <v>16</v>
      </c>
      <c r="BK86" s="40">
        <f t="shared" si="5"/>
        <v>14</v>
      </c>
      <c r="BL86" s="40">
        <f>IF((SUM(Karakterlap!$F$3:$F$12)-SUM(BB86:BK86))&lt;0,0,SUM(Karakterlap!$F$3:$F$12)-SUM(BB86:BK86))</f>
        <v>0</v>
      </c>
      <c r="BM86" t="e">
        <f>IF(Karakterlap!$F$3&gt;18,IF((Karakterlap!$F$3-IF(BB86&gt;18,BB86,18))&gt;0,Karakterlap!$F$3-IF(BB86&gt;18,BB86,18),0),0)+IF(Karakterlap!$F$4&gt;18,IF((Karakterlap!$F$4-IF(BC86&gt;18,BC86,18))&gt;0,Karakterlap!$F$4-IF(BC86&gt;18,BC86,18),0),0)+IF(Karakterlap!$F$5&gt;18,IF((Karakterlap!$F$5-IF(BD86&gt;18,BD86,18))&gt;0,Karakterlap!$F$5-IF(BD86&gt;18,BD86,18),0),0)+IF(Karakterlap!$F$6&gt;18,IF((Karakterlap!$F$6-IF(BE86&gt;18,BE86,18))&gt;0,Karakterlap!$F$6-IF(BE86&gt;18,BE86,18),0),0)+IF(Karakterlap!$F$7&gt;18,IF((Karakterlap!$F$7-IF(BF86&gt;18,BF86,18))&gt;0,Karakterlap!$F$7-IF(BF86&gt;18,BF86,18),0),0)+IF(Karakterlap!$F$8&gt;18,IF((Karakterlap!$F$8-IF(BG86&gt;18,BG86,18))&gt;0,Karakterlap!$F$8-IF(BG86&gt;18,BG86,18),0),0)+IF(Karakterlap!$F$9&gt;18,IF((Karakterlap!$F$9-IF(BH86&gt;18,BH86,18))&gt;0,Karakterlap!$F$9-IF(BH86&gt;18,BH86,18),0),0)+IF(Karakterlap!$F$10&gt;18,IF((Karakterlap!$F$10-IF(BI86&gt;18,BI86,18))&gt;0,Karakterlap!$F$10-IF(BI86&gt;18,BI86,18),0),0)+IF(Karakterlap!$F$11&gt;18,IF((Karakterlap!$F$11-IF(BJ86&gt;18,BJ86,18))&gt;0,Karakterlap!$F$11-IF(BJ86&gt;18,BJ86,18),0),0)+IF(Karakterlap!$F$12&gt;18,IF((Karakterlap!$F$12-IF(BK86&gt;18,BK86,18))&gt;0,Karakterlap!$F$12-IF(BK86&gt;18,BK86,18),0),0)</f>
        <v>#VALUE!</v>
      </c>
    </row>
    <row r="87" spans="12:65" x14ac:dyDescent="0.25">
      <c r="L87" s="10" t="s">
        <v>192</v>
      </c>
      <c r="M87" s="10">
        <v>0</v>
      </c>
      <c r="N87" s="10">
        <v>176</v>
      </c>
      <c r="O87" s="10">
        <v>353</v>
      </c>
      <c r="P87" s="10">
        <v>721</v>
      </c>
      <c r="Q87" s="10">
        <v>1501</v>
      </c>
      <c r="R87" s="10">
        <v>3501</v>
      </c>
      <c r="S87" s="10">
        <v>7001</v>
      </c>
      <c r="T87" s="10">
        <v>10501</v>
      </c>
      <c r="U87" s="10">
        <v>21001</v>
      </c>
      <c r="V87" s="10">
        <v>48001</v>
      </c>
      <c r="W87" s="10">
        <v>78001</v>
      </c>
      <c r="X87" s="10">
        <v>108001</v>
      </c>
      <c r="Y87" s="10">
        <f>IFERROR(IF(VLOOKUP(L87,Karakterlap!$P$3:$Z$4,10,FALSE)&gt;13,138001+((VLOOKUP(L87,Karakterlap!$P$3:$Z$4,10,FALSE)-13)*38000),138001),138001)</f>
        <v>138001</v>
      </c>
      <c r="Z87" s="10">
        <v>5</v>
      </c>
      <c r="AA87" s="10">
        <v>20</v>
      </c>
      <c r="AB87" s="10">
        <v>75</v>
      </c>
      <c r="AC87" s="10">
        <v>0</v>
      </c>
      <c r="AD87" s="10">
        <f>IFERROR(VLOOKUP(L87,Karakterlap!$P$3:$Z$4,10,FALSE)*9,9)</f>
        <v>9</v>
      </c>
      <c r="AE87" s="10">
        <f>IFERROR(IF(Karakterlap!$P$5="Váltott kaszt",IF(Karakterlap!$P$3=Adattábla!$L87,Karakterlap!$Y$3*3,IF(Karakterlap!$P$4=Adattábla!$L87,(Karakterlap!$Y$4-Adattábla!$I$20)*3,3)),VLOOKUP(Adattábla!$L87,Karakterlap!$P$3:$Z$4,10,FALSE)*3),3)</f>
        <v>3</v>
      </c>
      <c r="AF87" s="10">
        <f>IFERROR(IF(Karakterlap!$P$5="Váltott kaszt",IF(Karakterlap!$P$3=Adattábla!$L87,Karakterlap!$Y$3*3,IF(Karakterlap!$P$4=Adattábla!$L87,(Karakterlap!$Y$4-Adattábla!$I$20)*3,3)),VLOOKUP(Adattábla!$L87,Karakterlap!$P$3:$Z$4,10,FALSE)*3),3)</f>
        <v>3</v>
      </c>
      <c r="AG87" s="10">
        <v>5</v>
      </c>
      <c r="AH87" s="10">
        <f>IF(Karakterlap!$P$5="Iker kaszt",IF(Karakterlap!$P$3=L87,IFERROR((Karakterlap!$P$6*5)+(VLOOKUP(L87,Karakterlap!$P$3:$Z$4,10,FALSE)-Karakterlap!$P$6),5),IF(Karakterlap!$P$4=L87,VLOOKUP(L87,Karakterlap!$P$3:$Z$4,10,FALSE),5)),IF(Karakterlap!$P$5="Váltott kaszt",IF(L87=Karakterlap!$P$3,(Karakterlap!$Y$3+3)*5,VLOOKUP(L87,Karakterlap!$P$3:$Z$4,10,FALSE)*5),IFERROR(VLOOKUP(L87,Karakterlap!$P$3:$Z$4,10,FALSE)*5,5)))</f>
        <v>5</v>
      </c>
      <c r="AI87" s="10">
        <v>0</v>
      </c>
      <c r="AJ87" s="10">
        <v>8</v>
      </c>
      <c r="AK87" s="10">
        <v>7</v>
      </c>
      <c r="AL87" s="10">
        <f>IFERROR(VLOOKUP(L87,Karakterlap!$P$3:$Z$4,10,FALSE)*($E$18+5),$E$18+5)</f>
        <v>11</v>
      </c>
      <c r="AM87" s="10">
        <f>IFERROR(VLOOKUP(L87,Karakterlap!$P$3:$Z$4,10,FALSE)*($E$18+3),0)</f>
        <v>0</v>
      </c>
      <c r="AN87" s="10" t="s">
        <v>109</v>
      </c>
      <c r="AO87" s="10" t="str">
        <f>IFERROR((IF(Karakterlap!$F$9&gt;10,Karakterlap!$F$9-10,0))+5+((VLOOKUP(L87,Karakterlap!$P$3:$Z$4,10,FALSE)-1)*4),"más kaszt")</f>
        <v>más kaszt</v>
      </c>
      <c r="AP87" s="10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10">
        <f>IFERROR(IF(Karakterlap!$P$6&gt;13,138001+((Karakterlap!$P$6-13)*38000),138001),138001)</f>
        <v>138001</v>
      </c>
      <c r="BB87" s="40">
        <f>VLOOKUP("k10+8",$I$2:$J$11,2,FALSE)+IFERROR(VLOOKUP(Karakterlap!$V$7,$A$24:$C$33,3,FALSE),0)</f>
        <v>14</v>
      </c>
      <c r="BC87" s="40">
        <f>VLOOKUP("k10+8",$I$2:$J$11,2,FALSE)+IFERROR(VLOOKUP(Karakterlap!$V$7,$A$24:$D$33,4,FALSE),0)</f>
        <v>14</v>
      </c>
      <c r="BD87" s="40">
        <f>VLOOKUP("3k6(2x)",$I$2:$J$11,2,FALSE)+IFERROR(VLOOKUP(Karakterlap!$V$7,$A$24:$E$33,5,FALSE),0)</f>
        <v>11</v>
      </c>
      <c r="BE87" s="40">
        <f>VLOOKUP("3k6(2x)",$I$2:$J$11,2,FALSE)+IFERROR(VLOOKUP(Karakterlap!$V$7,$A$24:$F$33,6,FALSE),0)</f>
        <v>11</v>
      </c>
      <c r="BF87" s="40">
        <f>VLOOKUP("k10+10",$I$2:$J$11,2,FALSE)+IFERROR(VLOOKUP(Karakterlap!$V$7,$A$24:$G$33,7,FALSE),0)</f>
        <v>16</v>
      </c>
      <c r="BG87" s="40">
        <f>VLOOKUP("k10+8",$I$2:$J$11,2,FALSE)+IFERROR(VLOOKUP(Karakterlap!$V$7,$A$24:$H$33,8,FALSE),0)</f>
        <v>14</v>
      </c>
      <c r="BH87" s="40">
        <f>VLOOKUP("2k6+6",$I$2:$J$11,2,FALSE)+IFERROR(VLOOKUP(Karakterlap!$V$7,$A$24:$I$33,9,FALSE),0)</f>
        <v>13</v>
      </c>
      <c r="BI87" s="40">
        <f t="shared" si="4"/>
        <v>14</v>
      </c>
      <c r="BJ87" s="40">
        <f>VLOOKUP("k6+12",$I$2:$J$11,2,FALSE)+IFERROR(VLOOKUP(Karakterlap!$V$7,$A$24:$J$33,10,FALSE),0)</f>
        <v>16</v>
      </c>
      <c r="BK87" s="40">
        <f t="shared" si="5"/>
        <v>14</v>
      </c>
      <c r="BL87" s="40">
        <f>IF((SUM(Karakterlap!$F$3:$F$12)-SUM(BB87:BK87))&lt;0,0,SUM(Karakterlap!$F$3:$F$12)-SUM(BB87:BK87))</f>
        <v>0</v>
      </c>
      <c r="BM87" t="e">
        <f>IF(Karakterlap!$F$3&gt;18,IF((Karakterlap!$F$3-IF(BB87&gt;18,BB87,18))&gt;0,Karakterlap!$F$3-IF(BB87&gt;18,BB87,18),0),0)+IF(Karakterlap!$F$4&gt;18,IF((Karakterlap!$F$4-IF(BC87&gt;18,BC87,18))&gt;0,Karakterlap!$F$4-IF(BC87&gt;18,BC87,18),0),0)+IF(Karakterlap!$F$5&gt;18,IF((Karakterlap!$F$5-IF(BD87&gt;18,BD87,18))&gt;0,Karakterlap!$F$5-IF(BD87&gt;18,BD87,18),0),0)+IF(Karakterlap!$F$6&gt;18,IF((Karakterlap!$F$6-IF(BE87&gt;18,BE87,18))&gt;0,Karakterlap!$F$6-IF(BE87&gt;18,BE87,18),0),0)+IF(Karakterlap!$F$7&gt;18,IF((Karakterlap!$F$7-IF(BF87&gt;18,BF87,18))&gt;0,Karakterlap!$F$7-IF(BF87&gt;18,BF87,18),0),0)+IF(Karakterlap!$F$8&gt;18,IF((Karakterlap!$F$8-IF(BG87&gt;18,BG87,18))&gt;0,Karakterlap!$F$8-IF(BG87&gt;18,BG87,18),0),0)+IF(Karakterlap!$F$9&gt;18,IF((Karakterlap!$F$9-IF(BH87&gt;18,BH87,18))&gt;0,Karakterlap!$F$9-IF(BH87&gt;18,BH87,18),0),0)+IF(Karakterlap!$F$10&gt;18,IF((Karakterlap!$F$10-IF(BI87&gt;18,BI87,18))&gt;0,Karakterlap!$F$10-IF(BI87&gt;18,BI87,18),0),0)+IF(Karakterlap!$F$11&gt;18,IF((Karakterlap!$F$11-IF(BJ87&gt;18,BJ87,18))&gt;0,Karakterlap!$F$11-IF(BJ87&gt;18,BJ87,18),0),0)+IF(Karakterlap!$F$12&gt;18,IF((Karakterlap!$F$12-IF(BK87&gt;18,BK87,18))&gt;0,Karakterlap!$F$12-IF(BK87&gt;18,BK87,18),0),0)</f>
        <v>#VALUE!</v>
      </c>
    </row>
    <row r="88" spans="12:65" x14ac:dyDescent="0.25">
      <c r="L88" s="10" t="s">
        <v>191</v>
      </c>
      <c r="M88" s="10">
        <v>0</v>
      </c>
      <c r="N88" s="10">
        <v>176</v>
      </c>
      <c r="O88" s="10">
        <v>353</v>
      </c>
      <c r="P88" s="10">
        <v>721</v>
      </c>
      <c r="Q88" s="10">
        <v>1501</v>
      </c>
      <c r="R88" s="10">
        <v>3501</v>
      </c>
      <c r="S88" s="10">
        <v>7001</v>
      </c>
      <c r="T88" s="10">
        <v>10501</v>
      </c>
      <c r="U88" s="10">
        <v>21001</v>
      </c>
      <c r="V88" s="10">
        <v>48001</v>
      </c>
      <c r="W88" s="10">
        <v>78001</v>
      </c>
      <c r="X88" s="10">
        <v>108001</v>
      </c>
      <c r="Y88" s="10">
        <f>IFERROR(IF(VLOOKUP(L88,Karakterlap!$P$3:$Z$4,10,FALSE)&gt;13,138001+((VLOOKUP(L88,Karakterlap!$P$3:$Z$4,10,FALSE)-13)*38000),138001),138001)</f>
        <v>138001</v>
      </c>
      <c r="Z88" s="10">
        <v>5</v>
      </c>
      <c r="AA88" s="10">
        <v>20</v>
      </c>
      <c r="AB88" s="10">
        <v>75</v>
      </c>
      <c r="AC88" s="10">
        <v>0</v>
      </c>
      <c r="AD88" s="10">
        <f>IFERROR(VLOOKUP(L88,Karakterlap!$P$3:$Z$4,10,FALSE)*9,9)</f>
        <v>9</v>
      </c>
      <c r="AE88" s="10">
        <f>IFERROR(IF(Karakterlap!$P$5="Váltott kaszt",IF(Karakterlap!$P$3=Adattábla!$L88,Karakterlap!$Y$3*3,IF(Karakterlap!$P$4=Adattábla!$L88,(Karakterlap!$Y$4-Adattábla!$I$20)*3,3)),VLOOKUP(Adattábla!$L88,Karakterlap!$P$3:$Z$4,10,FALSE)*3),3)</f>
        <v>3</v>
      </c>
      <c r="AF88" s="10">
        <f>IFERROR(IF(Karakterlap!$P$5="Váltott kaszt",IF(Karakterlap!$P$3=Adattábla!$L88,Karakterlap!$Y$3*3,IF(Karakterlap!$P$4=Adattábla!$L88,(Karakterlap!$Y$4-Adattábla!$I$20)*3,3)),VLOOKUP(Adattábla!$L88,Karakterlap!$P$3:$Z$4,10,FALSE)*3),3)</f>
        <v>3</v>
      </c>
      <c r="AG88" s="10">
        <v>5</v>
      </c>
      <c r="AH88" s="10">
        <f>IF(Karakterlap!$P$5="Iker kaszt",IF(Karakterlap!$P$3=L88,IFERROR((Karakterlap!$P$6*5)+(VLOOKUP(L88,Karakterlap!$P$3:$Z$4,10,FALSE)-Karakterlap!$P$6),5),IF(Karakterlap!$P$4=L88,VLOOKUP(L88,Karakterlap!$P$3:$Z$4,10,FALSE),5)),IF(Karakterlap!$P$5="Váltott kaszt",IF(L88=Karakterlap!$P$3,(Karakterlap!$Y$3+3)*5,VLOOKUP(L88,Karakterlap!$P$3:$Z$4,10,FALSE)*5),IFERROR(VLOOKUP(L88,Karakterlap!$P$3:$Z$4,10,FALSE)*5,5)))</f>
        <v>5</v>
      </c>
      <c r="AI88" s="10">
        <v>0</v>
      </c>
      <c r="AJ88" s="10">
        <v>8</v>
      </c>
      <c r="AK88" s="10">
        <v>7</v>
      </c>
      <c r="AL88" s="10">
        <f>IFERROR(VLOOKUP(L88,Karakterlap!$P$3:$Z$4,10,FALSE)*($E$18+5),$E$18+5)</f>
        <v>11</v>
      </c>
      <c r="AM88" s="10">
        <f>IFERROR(VLOOKUP(L88,Karakterlap!$P$3:$Z$4,10,FALSE)*($E$18+3),0)</f>
        <v>0</v>
      </c>
      <c r="AN88" s="10" t="s">
        <v>109</v>
      </c>
      <c r="AO88" s="10" t="str">
        <f>IFERROR((IF(Karakterlap!$F$9&gt;10,Karakterlap!$F$9-10,0))+5+((VLOOKUP(L88,Karakterlap!$P$3:$Z$4,10,FALSE)-1)*4),"más kaszt")</f>
        <v>más kaszt</v>
      </c>
      <c r="AP88" s="10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10">
        <f>IFERROR(IF(Karakterlap!$P$6&gt;13,138001+((Karakterlap!$P$6-13)*38000),138001),138001)</f>
        <v>138001</v>
      </c>
      <c r="BB88" s="40">
        <f>VLOOKUP("k10+8",$I$2:$J$11,2,FALSE)+IFERROR(VLOOKUP(Karakterlap!$V$7,$A$24:$C$33,3,FALSE),0)</f>
        <v>14</v>
      </c>
      <c r="BC88" s="40">
        <f>VLOOKUP("k10+8",$I$2:$J$11,2,FALSE)+IFERROR(VLOOKUP(Karakterlap!$V$7,$A$24:$D$33,4,FALSE),0)</f>
        <v>14</v>
      </c>
      <c r="BD88" s="40">
        <f>VLOOKUP("3k6(2x)",$I$2:$J$11,2,FALSE)+IFERROR(VLOOKUP(Karakterlap!$V$7,$A$24:$E$33,5,FALSE),0)</f>
        <v>11</v>
      </c>
      <c r="BE88" s="40">
        <f>VLOOKUP("3k6(2x)",$I$2:$J$11,2,FALSE)+IFERROR(VLOOKUP(Karakterlap!$V$7,$A$24:$F$33,6,FALSE),0)</f>
        <v>11</v>
      </c>
      <c r="BF88" s="40">
        <f>VLOOKUP("k10+10",$I$2:$J$11,2,FALSE)+IFERROR(VLOOKUP(Karakterlap!$V$7,$A$24:$G$33,7,FALSE),0)</f>
        <v>16</v>
      </c>
      <c r="BG88" s="40">
        <f>VLOOKUP("k10+8",$I$2:$J$11,2,FALSE)+IFERROR(VLOOKUP(Karakterlap!$V$7,$A$24:$H$33,8,FALSE),0)</f>
        <v>14</v>
      </c>
      <c r="BH88" s="40">
        <f>VLOOKUP("2k6+6",$I$2:$J$11,2,FALSE)+IFERROR(VLOOKUP(Karakterlap!$V$7,$A$24:$I$33,9,FALSE),0)</f>
        <v>13</v>
      </c>
      <c r="BI88" s="40">
        <f t="shared" si="4"/>
        <v>14</v>
      </c>
      <c r="BJ88" s="40">
        <f>VLOOKUP("k6+12",$I$2:$J$11,2,FALSE)+IFERROR(VLOOKUP(Karakterlap!$V$7,$A$24:$J$33,10,FALSE),0)</f>
        <v>16</v>
      </c>
      <c r="BK88" s="40">
        <f t="shared" si="5"/>
        <v>14</v>
      </c>
      <c r="BL88" s="40">
        <f>IF((SUM(Karakterlap!$F$3:$F$12)-SUM(BB88:BK88))&lt;0,0,SUM(Karakterlap!$F$3:$F$12)-SUM(BB88:BK88))</f>
        <v>0</v>
      </c>
      <c r="BM88" t="e">
        <f>IF(Karakterlap!$F$3&gt;18,IF((Karakterlap!$F$3-IF(BB88&gt;18,BB88,18))&gt;0,Karakterlap!$F$3-IF(BB88&gt;18,BB88,18),0),0)+IF(Karakterlap!$F$4&gt;18,IF((Karakterlap!$F$4-IF(BC88&gt;18,BC88,18))&gt;0,Karakterlap!$F$4-IF(BC88&gt;18,BC88,18),0),0)+IF(Karakterlap!$F$5&gt;18,IF((Karakterlap!$F$5-IF(BD88&gt;18,BD88,18))&gt;0,Karakterlap!$F$5-IF(BD88&gt;18,BD88,18),0),0)+IF(Karakterlap!$F$6&gt;18,IF((Karakterlap!$F$6-IF(BE88&gt;18,BE88,18))&gt;0,Karakterlap!$F$6-IF(BE88&gt;18,BE88,18),0),0)+IF(Karakterlap!$F$7&gt;18,IF((Karakterlap!$F$7-IF(BF88&gt;18,BF88,18))&gt;0,Karakterlap!$F$7-IF(BF88&gt;18,BF88,18),0),0)+IF(Karakterlap!$F$8&gt;18,IF((Karakterlap!$F$8-IF(BG88&gt;18,BG88,18))&gt;0,Karakterlap!$F$8-IF(BG88&gt;18,BG88,18),0),0)+IF(Karakterlap!$F$9&gt;18,IF((Karakterlap!$F$9-IF(BH88&gt;18,BH88,18))&gt;0,Karakterlap!$F$9-IF(BH88&gt;18,BH88,18),0),0)+IF(Karakterlap!$F$10&gt;18,IF((Karakterlap!$F$10-IF(BI88&gt;18,BI88,18))&gt;0,Karakterlap!$F$10-IF(BI88&gt;18,BI88,18),0),0)+IF(Karakterlap!$F$11&gt;18,IF((Karakterlap!$F$11-IF(BJ88&gt;18,BJ88,18))&gt;0,Karakterlap!$F$11-IF(BJ88&gt;18,BJ88,18),0),0)+IF(Karakterlap!$F$12&gt;18,IF((Karakterlap!$F$12-IF(BK88&gt;18,BK88,18))&gt;0,Karakterlap!$F$12-IF(BK88&gt;18,BK88,18),0),0)</f>
        <v>#VALUE!</v>
      </c>
    </row>
    <row r="89" spans="12:65" x14ac:dyDescent="0.25">
      <c r="L89" s="10" t="s">
        <v>187</v>
      </c>
      <c r="M89" s="10">
        <v>0</v>
      </c>
      <c r="N89" s="10">
        <v>176</v>
      </c>
      <c r="O89" s="10">
        <v>353</v>
      </c>
      <c r="P89" s="10">
        <v>721</v>
      </c>
      <c r="Q89" s="10">
        <v>1501</v>
      </c>
      <c r="R89" s="10">
        <v>3501</v>
      </c>
      <c r="S89" s="10">
        <v>7001</v>
      </c>
      <c r="T89" s="10">
        <v>10501</v>
      </c>
      <c r="U89" s="10">
        <v>21001</v>
      </c>
      <c r="V89" s="10">
        <v>48001</v>
      </c>
      <c r="W89" s="10">
        <v>78001</v>
      </c>
      <c r="X89" s="10">
        <v>108001</v>
      </c>
      <c r="Y89" s="10">
        <f>IFERROR(IF(VLOOKUP(L89,Karakterlap!$P$3:$Z$4,10,FALSE)&gt;13,138001+((VLOOKUP(L89,Karakterlap!$P$3:$Z$4,10,FALSE)-13)*38000),138001),138001)</f>
        <v>138001</v>
      </c>
      <c r="Z89" s="10">
        <v>5</v>
      </c>
      <c r="AA89" s="10">
        <v>20</v>
      </c>
      <c r="AB89" s="10">
        <v>75</v>
      </c>
      <c r="AC89" s="10">
        <v>0</v>
      </c>
      <c r="AD89" s="10">
        <f>IFERROR(VLOOKUP(L89,Karakterlap!$P$3:$Z$4,10,FALSE)*9,9)</f>
        <v>9</v>
      </c>
      <c r="AE89" s="10">
        <f>IFERROR(IF(Karakterlap!$P$5="Váltott kaszt",IF(Karakterlap!$P$3=Adattábla!$L89,Karakterlap!$Y$3*3,IF(Karakterlap!$P$4=Adattábla!$L89,(Karakterlap!$Y$4-Adattábla!$I$20)*3,3)),VLOOKUP(Adattábla!$L89,Karakterlap!$P$3:$Z$4,10,FALSE)*3),3)</f>
        <v>3</v>
      </c>
      <c r="AF89" s="10">
        <f>IFERROR(IF(Karakterlap!$P$5="Váltott kaszt",IF(Karakterlap!$P$3=Adattábla!$L89,Karakterlap!$Y$3*3,IF(Karakterlap!$P$4=Adattábla!$L89,(Karakterlap!$Y$4-Adattábla!$I$20)*3,3)),VLOOKUP(Adattábla!$L89,Karakterlap!$P$3:$Z$4,10,FALSE)*3),3)</f>
        <v>3</v>
      </c>
      <c r="AG89" s="10">
        <v>5</v>
      </c>
      <c r="AH89" s="10">
        <f>IF(Karakterlap!$P$5="Iker kaszt",IF(Karakterlap!$P$3=L89,IFERROR((Karakterlap!$P$6*5)+(VLOOKUP(L89,Karakterlap!$P$3:$Z$4,10,FALSE)-Karakterlap!$P$6),5),IF(Karakterlap!$P$4=L89,VLOOKUP(L89,Karakterlap!$P$3:$Z$4,10,FALSE),5)),IF(Karakterlap!$P$5="Váltott kaszt",IF(L89=Karakterlap!$P$3,(Karakterlap!$Y$3+3)*5,VLOOKUP(L89,Karakterlap!$P$3:$Z$4,10,FALSE)*5),IFERROR(VLOOKUP(L89,Karakterlap!$P$3:$Z$4,10,FALSE)*5,5)))</f>
        <v>5</v>
      </c>
      <c r="AI89" s="10">
        <v>0</v>
      </c>
      <c r="AJ89" s="10">
        <v>8</v>
      </c>
      <c r="AK89" s="10">
        <v>7</v>
      </c>
      <c r="AL89" s="10">
        <f>IFERROR(VLOOKUP(L89,Karakterlap!$P$3:$Z$4,10,FALSE)*($E$18+5),$E$18+5)</f>
        <v>11</v>
      </c>
      <c r="AM89" s="10">
        <f>IFERROR(VLOOKUP(L89,Karakterlap!$P$3:$Z$4,10,FALSE)*6,0)</f>
        <v>0</v>
      </c>
      <c r="AN89" s="10" t="s">
        <v>109</v>
      </c>
      <c r="AO89" s="10" t="str">
        <f>IFERROR((IF(Karakterlap!$F$9&gt;10,Karakterlap!$F$9-10,0))+5+((VLOOKUP(L89,Karakterlap!$P$3:$Z$4,10,FALSE)-1)*4),"más kaszt")</f>
        <v>más kaszt</v>
      </c>
      <c r="AP89" s="10"/>
      <c r="AQ89" s="33"/>
      <c r="AR89" s="33">
        <v>20</v>
      </c>
      <c r="AS89" s="33"/>
      <c r="AT89" s="33"/>
      <c r="AU89" s="33"/>
      <c r="AV89" s="33"/>
      <c r="AW89" s="33"/>
      <c r="AX89" s="33"/>
      <c r="AY89" s="33"/>
      <c r="AZ89" s="33"/>
      <c r="BA89" s="10">
        <f>IFERROR(IF(Karakterlap!$P$6&gt;13,138001+((Karakterlap!$P$6-13)*38000),138001),138001)</f>
        <v>138001</v>
      </c>
      <c r="BB89" s="40">
        <f>VLOOKUP("k10+8",$I$2:$J$11,2,FALSE)+IFERROR(VLOOKUP(Karakterlap!$V$7,$A$24:$C$33,3,FALSE),0)</f>
        <v>14</v>
      </c>
      <c r="BC89" s="40">
        <f>VLOOKUP("k10+8",$I$2:$J$11,2,FALSE)+IFERROR(VLOOKUP(Karakterlap!$V$7,$A$24:$D$33,4,FALSE),0)</f>
        <v>14</v>
      </c>
      <c r="BD89" s="40">
        <f>VLOOKUP("3k6(2x)",$I$2:$J$11,2,FALSE)+IFERROR(VLOOKUP(Karakterlap!$V$7,$A$24:$E$33,5,FALSE),0)</f>
        <v>11</v>
      </c>
      <c r="BE89" s="40">
        <f>VLOOKUP("3k6(2x)",$I$2:$J$11,2,FALSE)+IFERROR(VLOOKUP(Karakterlap!$V$7,$A$24:$F$33,6,FALSE),0)</f>
        <v>11</v>
      </c>
      <c r="BF89" s="40">
        <f>VLOOKUP("k10+10",$I$2:$J$11,2,FALSE)+IFERROR(VLOOKUP(Karakterlap!$V$7,$A$24:$G$33,7,FALSE),0)</f>
        <v>16</v>
      </c>
      <c r="BG89" s="40">
        <f>VLOOKUP("k10+8",$I$2:$J$11,2,FALSE)+IFERROR(VLOOKUP(Karakterlap!$V$7,$A$24:$H$33,8,FALSE),0)</f>
        <v>14</v>
      </c>
      <c r="BH89" s="40">
        <f>VLOOKUP("2k6+6",$I$2:$J$11,2,FALSE)+IFERROR(VLOOKUP(Karakterlap!$V$7,$A$24:$I$33,9,FALSE),0)</f>
        <v>13</v>
      </c>
      <c r="BI89" s="40">
        <f t="shared" si="4"/>
        <v>14</v>
      </c>
      <c r="BJ89" s="40">
        <f>VLOOKUP("k6+12",$I$2:$J$11,2,FALSE)+IFERROR(VLOOKUP(Karakterlap!$V$7,$A$24:$J$33,10,FALSE),0)</f>
        <v>16</v>
      </c>
      <c r="BK89" s="40">
        <f t="shared" si="5"/>
        <v>14</v>
      </c>
      <c r="BL89" s="40">
        <f>IF((SUM(Karakterlap!$F$3:$F$12)-SUM(BB89:BK89))&lt;0,0,SUM(Karakterlap!$F$3:$F$12)-SUM(BB89:BK89))</f>
        <v>0</v>
      </c>
      <c r="BM89" t="e">
        <f>IF(Karakterlap!$F$3&gt;18,IF((Karakterlap!$F$3-IF(BB89&gt;18,BB89,18))&gt;0,Karakterlap!$F$3-IF(BB89&gt;18,BB89,18),0),0)+IF(Karakterlap!$F$4&gt;18,IF((Karakterlap!$F$4-IF(BC89&gt;18,BC89,18))&gt;0,Karakterlap!$F$4-IF(BC89&gt;18,BC89,18),0),0)+IF(Karakterlap!$F$5&gt;18,IF((Karakterlap!$F$5-IF(BD89&gt;18,BD89,18))&gt;0,Karakterlap!$F$5-IF(BD89&gt;18,BD89,18),0),0)+IF(Karakterlap!$F$6&gt;18,IF((Karakterlap!$F$6-IF(BE89&gt;18,BE89,18))&gt;0,Karakterlap!$F$6-IF(BE89&gt;18,BE89,18),0),0)+IF(Karakterlap!$F$7&gt;18,IF((Karakterlap!$F$7-IF(BF89&gt;18,BF89,18))&gt;0,Karakterlap!$F$7-IF(BF89&gt;18,BF89,18),0),0)+IF(Karakterlap!$F$8&gt;18,IF((Karakterlap!$F$8-IF(BG89&gt;18,BG89,18))&gt;0,Karakterlap!$F$8-IF(BG89&gt;18,BG89,18),0),0)+IF(Karakterlap!$F$9&gt;18,IF((Karakterlap!$F$9-IF(BH89&gt;18,BH89,18))&gt;0,Karakterlap!$F$9-IF(BH89&gt;18,BH89,18),0),0)+IF(Karakterlap!$F$10&gt;18,IF((Karakterlap!$F$10-IF(BI89&gt;18,BI89,18))&gt;0,Karakterlap!$F$10-IF(BI89&gt;18,BI89,18),0),0)+IF(Karakterlap!$F$11&gt;18,IF((Karakterlap!$F$11-IF(BJ89&gt;18,BJ89,18))&gt;0,Karakterlap!$F$11-IF(BJ89&gt;18,BJ89,18),0),0)+IF(Karakterlap!$F$12&gt;18,IF((Karakterlap!$F$12-IF(BK89&gt;18,BK89,18))&gt;0,Karakterlap!$F$12-IF(BK89&gt;18,BK89,18),0),0)</f>
        <v>#VALUE!</v>
      </c>
    </row>
    <row r="90" spans="12:65" x14ac:dyDescent="0.25">
      <c r="L90" t="s">
        <v>61</v>
      </c>
      <c r="M90">
        <v>0</v>
      </c>
      <c r="N90">
        <v>221</v>
      </c>
      <c r="O90">
        <v>443</v>
      </c>
      <c r="P90">
        <v>951</v>
      </c>
      <c r="Q90">
        <v>2001</v>
      </c>
      <c r="R90">
        <v>4501</v>
      </c>
      <c r="S90">
        <v>9001</v>
      </c>
      <c r="T90">
        <v>16001</v>
      </c>
      <c r="U90">
        <v>32001</v>
      </c>
      <c r="V90">
        <v>65001</v>
      </c>
      <c r="W90">
        <v>120001</v>
      </c>
      <c r="X90">
        <v>170001</v>
      </c>
      <c r="Y90">
        <f>IFERROR(IF(VLOOKUP(L90,Karakterlap!$P$3:$Z$4,10,FALSE)&gt;13,240001+((VLOOKUP(L90,Karakterlap!$P$3:$Z$4,10,FALSE)-13)*65000),240001),240001)</f>
        <v>240001</v>
      </c>
      <c r="Z90" s="10">
        <v>10</v>
      </c>
      <c r="AA90" s="10">
        <v>20</v>
      </c>
      <c r="AB90" s="10">
        <v>75</v>
      </c>
      <c r="AC90" s="10">
        <v>0</v>
      </c>
      <c r="AD90" s="10">
        <f>IFERROR(VLOOKUP(L90,Karakterlap!$P$3:$Z$4,10,FALSE)*8,8)</f>
        <v>8</v>
      </c>
      <c r="AE90" s="10">
        <f>IFERROR(IF(Karakterlap!$P$5="Váltott kaszt",IF(Karakterlap!$P$3=Adattábla!$L90,Karakterlap!$Y$3*3,IF(Karakterlap!$P$4=Adattábla!$L90,(Karakterlap!$Y$4-Adattábla!$I$20)*3,3)),VLOOKUP(Adattábla!$L90,Karakterlap!$P$3:$Z$4,10,FALSE)*3),3)</f>
        <v>3</v>
      </c>
      <c r="AF90" s="10">
        <f>IFERROR(IF(Karakterlap!$P$5="Váltott kaszt",IF(Karakterlap!$P$3=Adattábla!$L90,Karakterlap!$Y$3*3,IF(Karakterlap!$P$4=Adattábla!$L90,(Karakterlap!$Y$4-Adattábla!$I$20)*3,3)),VLOOKUP(Adattábla!$L90,Karakterlap!$P$3:$Z$4,10,FALSE)*3),3)</f>
        <v>3</v>
      </c>
      <c r="AG90" s="10">
        <v>4</v>
      </c>
      <c r="AH90" s="10">
        <f>IF(Karakterlap!$P$5="Iker kaszt",IF(Karakterlap!$P$3=L90,IFERROR((Karakterlap!$P$6*5)+(VLOOKUP(L90,Karakterlap!$P$3:$Z$4,10,FALSE)-Karakterlap!$P$6),5),IF(Karakterlap!$P$4=L90,VLOOKUP(L90,Karakterlap!$P$3:$Z$4,10,FALSE),5)),IF(Karakterlap!$P$5="Váltott kaszt",IF(L90=Karakterlap!$P$3,(Karakterlap!$Y$3+3)*5,VLOOKUP(L90,Karakterlap!$P$3:$Z$4,10,FALSE)*5),IFERROR(VLOOKUP(L90,Karakterlap!$P$3:$Z$4,10,FALSE)*5,5)))</f>
        <v>5</v>
      </c>
      <c r="AI90" s="10">
        <f>IFERROR(IF(Karakterlap!$P$5="Váltott kaszt",IF(L90=Karakterlap!$P$3,Karakterlap!$P$6*22,VLOOKUP(L90,Karakterlap!$P$3:$Z$4,10,FALSE)*22),VLOOKUP(L90,Karakterlap!$P$3:$Z$4,10,FALSE)*22),22)</f>
        <v>22</v>
      </c>
      <c r="AJ90" s="10">
        <v>4</v>
      </c>
      <c r="AK90" s="10">
        <v>8</v>
      </c>
      <c r="AL90">
        <f>IFERROR(VLOOKUP(L90,Karakterlap!$P$3:$Z$4,10,FALSE)*($E$18+5),$E$18+5)</f>
        <v>11</v>
      </c>
      <c r="AM90">
        <v>0</v>
      </c>
      <c r="AN90" t="s">
        <v>159</v>
      </c>
      <c r="AO90" t="str">
        <f>IFERROR((IF(Karakterlap!$F$9&gt;10,Karakterlap!$F$9-10,0))+6+((VLOOKUP(L90,Karakterlap!$P$3:$Z$4,10,FALSE)-1)*5),"más kaszt")</f>
        <v>más kaszt</v>
      </c>
      <c r="AQ90" s="17">
        <v>20</v>
      </c>
      <c r="AR90" s="17">
        <v>35</v>
      </c>
      <c r="AS90" s="17">
        <v>30</v>
      </c>
      <c r="BA90">
        <f>IFERROR(IF(Karakterlap!$P$6&gt;13,240001+((Karakterlap!$P$6-13)*65000),240001),240001)</f>
        <v>240001</v>
      </c>
      <c r="BB90" s="40">
        <f>VLOOKUP("k10+8",$I$2:$J$11,2,FALSE)+IFERROR(VLOOKUP(Karakterlap!$V$7,$A$24:$C$33,3,FALSE),0)</f>
        <v>14</v>
      </c>
      <c r="BC90" s="40">
        <f>VLOOKUP("k6+12",$I$2:$J$11,2,FALSE)+IFERROR(VLOOKUP(Karakterlap!$V$7,$A$24:$D$33,4,FALSE),0)</f>
        <v>16</v>
      </c>
      <c r="BD90" s="40">
        <f>VLOOKUP("k6+14",$I$2:$J$11,2,FALSE)+IFERROR(VLOOKUP(Karakterlap!$V$7,$A$24:$E$33,5,FALSE),0)</f>
        <v>18</v>
      </c>
      <c r="BE90" s="40">
        <f>VLOOKUP("k6+12",$I$2:$J$11,2,FALSE)+IFERROR(VLOOKUP(Karakterlap!$V$7,$A$24:$F$33,6,FALSE),0)</f>
        <v>16</v>
      </c>
      <c r="BF90" s="40">
        <f>VLOOKUP("k10+10",$I$2:$J$11,2,FALSE)+IFERROR(VLOOKUP(Karakterlap!$V$7,$A$24:$G$33,7,FALSE),0)</f>
        <v>16</v>
      </c>
      <c r="BG90" s="40">
        <f>VLOOKUP("3k6(2x)",$I$2:$J$11,2,FALSE)+IFERROR(VLOOKUP(Karakterlap!$V$7,$A$24:$H$33,8,FALSE),0)</f>
        <v>11</v>
      </c>
      <c r="BH90" s="40">
        <f>VLOOKUP("3k6(2x)",$I$2:$J$11,2,FALSE)+IFERROR(VLOOKUP(Karakterlap!$V$7,$A$24:$I$33,9,FALSE),0)</f>
        <v>11</v>
      </c>
      <c r="BI90" s="40">
        <f>VLOOKUP("k6+12",$I$2:$J$11,2,FALSE)</f>
        <v>16</v>
      </c>
      <c r="BJ90" s="40">
        <f>VLOOKUP("k10+8",$I$2:$J$11,2,FALSE)+IFERROR(VLOOKUP(Karakterlap!$V$7,$A$24:$J$33,10,FALSE),0)</f>
        <v>14</v>
      </c>
      <c r="BK90" s="40">
        <f>VLOOKUP("k6+12",$I$2:$J$11,2,FALSE)</f>
        <v>16</v>
      </c>
      <c r="BL90" s="40">
        <f>IF((SUM(Karakterlap!$F$3:$F$12)-SUM(BB90:BK90))&lt;0,0,SUM(Karakterlap!$F$3:$F$12)-SUM(BB90:BK90))</f>
        <v>0</v>
      </c>
      <c r="BM90" t="e">
        <f>IF(Karakterlap!$F$3&gt;18,IF((Karakterlap!$F$3-IF(BB90&gt;18,BB90,18))&gt;0,Karakterlap!$F$3-IF(BB90&gt;18,BB90,18),0),0)+IF(Karakterlap!$F$4&gt;18,IF((Karakterlap!$F$4-IF(BC90&gt;18,BC90,18))&gt;0,Karakterlap!$F$4-IF(BC90&gt;18,BC90,18),0),0)+IF(Karakterlap!$F$5&gt;18,IF((Karakterlap!$F$5-IF(BD90&gt;18,BD90,18))&gt;0,Karakterlap!$F$5-IF(BD90&gt;18,BD90,18),0),0)+IF(Karakterlap!$F$6&gt;18,IF((Karakterlap!$F$6-IF(BE90&gt;18,BE90,18))&gt;0,Karakterlap!$F$6-IF(BE90&gt;18,BE90,18),0),0)+IF(Karakterlap!$F$7&gt;18,IF((Karakterlap!$F$7-IF(BF90&gt;18,BF90,18))&gt;0,Karakterlap!$F$7-IF(BF90&gt;18,BF90,18),0),0)+IF(Karakterlap!$F$8&gt;18,IF((Karakterlap!$F$8-IF(BG90&gt;18,BG90,18))&gt;0,Karakterlap!$F$8-IF(BG90&gt;18,BG90,18),0),0)+IF(Karakterlap!$F$9&gt;18,IF((Karakterlap!$F$9-IF(BH90&gt;18,BH90,18))&gt;0,Karakterlap!$F$9-IF(BH90&gt;18,BH90,18),0),0)+IF(Karakterlap!$F$10&gt;18,IF((Karakterlap!$F$10-IF(BI90&gt;18,BI90,18))&gt;0,Karakterlap!$F$10-IF(BI90&gt;18,BI90,18),0),0)+IF(Karakterlap!$F$11&gt;18,IF((Karakterlap!$F$11-IF(BJ90&gt;18,BJ90,18))&gt;0,Karakterlap!$F$11-IF(BJ90&gt;18,BJ90,18),0),0)+IF(Karakterlap!$F$12&gt;18,IF((Karakterlap!$F$12-IF(BK90&gt;18,BK90,18))&gt;0,Karakterlap!$F$12-IF(BK90&gt;18,BK90,18),0),0)</f>
        <v>#VALUE!</v>
      </c>
    </row>
    <row r="91" spans="12:65" x14ac:dyDescent="0.25">
      <c r="L91" t="s">
        <v>62</v>
      </c>
      <c r="M91">
        <v>0</v>
      </c>
      <c r="N91">
        <v>201</v>
      </c>
      <c r="O91">
        <v>401</v>
      </c>
      <c r="P91">
        <v>926</v>
      </c>
      <c r="Q91">
        <v>1901</v>
      </c>
      <c r="R91">
        <v>4001</v>
      </c>
      <c r="S91">
        <v>8251</v>
      </c>
      <c r="T91">
        <v>15501</v>
      </c>
      <c r="U91">
        <v>31001</v>
      </c>
      <c r="V91">
        <v>62501</v>
      </c>
      <c r="W91">
        <v>115001</v>
      </c>
      <c r="X91">
        <v>165001</v>
      </c>
      <c r="Y91">
        <f>IFERROR(IF(VLOOKUP(L91,Karakterlap!$P$3:$Z$4,10,FALSE)&gt;13,230001+((VLOOKUP(L91,Karakterlap!$P$3:$Z$4,10,FALSE)-13)*62000),230001),230001)</f>
        <v>230001</v>
      </c>
      <c r="Z91" s="10">
        <v>10</v>
      </c>
      <c r="AA91" s="10">
        <v>20</v>
      </c>
      <c r="AB91" s="10">
        <v>75</v>
      </c>
      <c r="AC91" s="10">
        <v>0</v>
      </c>
      <c r="AD91" s="10">
        <f>IFERROR(VLOOKUP(L91,Karakterlap!$P$3:$Z$4,10,FALSE)*8,8)</f>
        <v>8</v>
      </c>
      <c r="AE91" s="10">
        <f>IFERROR(IF(Karakterlap!$P$5="Váltott kaszt",IF(Karakterlap!$P$3=Adattábla!$L91,Karakterlap!$Y$3*3,IF(Karakterlap!$P$4=Adattábla!$L91,(Karakterlap!$Y$4-Adattábla!$I$20)*3,3)),VLOOKUP(Adattábla!$L91,Karakterlap!$P$3:$Z$4,10,FALSE)*3),3)</f>
        <v>3</v>
      </c>
      <c r="AF91" s="10">
        <f>IFERROR(IF(Karakterlap!$P$5="Váltott kaszt",IF(Karakterlap!$P$3=Adattábla!$L91,Karakterlap!$Y$3*3,IF(Karakterlap!$P$4=Adattábla!$L91,(Karakterlap!$Y$4-Adattábla!$I$20)*3,3)),VLOOKUP(Adattábla!$L91,Karakterlap!$P$3:$Z$4,10,FALSE)*3),3)</f>
        <v>3</v>
      </c>
      <c r="AG91" s="10">
        <v>4</v>
      </c>
      <c r="AH91" s="10">
        <f>IF(Karakterlap!$P$5="Iker kaszt",IF(Karakterlap!$P$3=L91,IFERROR((Karakterlap!$P$6*5)+(VLOOKUP(L91,Karakterlap!$P$3:$Z$4,10,FALSE)-Karakterlap!$P$6),5),IF(Karakterlap!$P$4=L91,VLOOKUP(L91,Karakterlap!$P$3:$Z$4,10,FALSE),5)),IF(Karakterlap!$P$5="Váltott kaszt",IF(L91=Karakterlap!$P$3,(Karakterlap!$Y$3+3)*5,VLOOKUP(L91,Karakterlap!$P$3:$Z$4,10,FALSE)*5),IFERROR(VLOOKUP(L91,Karakterlap!$P$3:$Z$4,10,FALSE)*5,5)))</f>
        <v>5</v>
      </c>
      <c r="AI91" s="10">
        <f>IFERROR(IF(Karakterlap!$P$5="Váltott kaszt",IF(L91=Karakterlap!$P$3,Karakterlap!$P$6*18,VLOOKUP(L91,Karakterlap!$P$3:$Z$4,10,FALSE)*18),VLOOKUP(L91,Karakterlap!$P$3:$Z$4,10,FALSE)*18),18)</f>
        <v>18</v>
      </c>
      <c r="AJ91" s="10">
        <v>4</v>
      </c>
      <c r="AK91" s="10">
        <v>8</v>
      </c>
      <c r="AL91">
        <f>IFERROR(VLOOKUP(L91,Karakterlap!$P$3:$Z$4,10,FALSE)*($E$18+5),$E$18+5)</f>
        <v>11</v>
      </c>
      <c r="AM91">
        <v>0</v>
      </c>
      <c r="AN91" t="s">
        <v>159</v>
      </c>
      <c r="AO91" t="str">
        <f>IFERROR((IF(Karakterlap!$F$9&gt;10,Karakterlap!$F$9-10,0))+6+((VLOOKUP(L91,Karakterlap!$P$3:$Z$4,10,FALSE)-1)*5),"más kaszt")</f>
        <v>más kaszt</v>
      </c>
      <c r="AQ91" s="17">
        <v>10</v>
      </c>
      <c r="AR91" s="17">
        <v>20</v>
      </c>
      <c r="AS91" s="17">
        <v>10</v>
      </c>
      <c r="BA91">
        <f>IFERROR(IF(Karakterlap!$P$6&gt;13,230001+((Karakterlap!$P$6-13)*62000),230001),230001)</f>
        <v>230001</v>
      </c>
      <c r="BB91" s="40">
        <f>VLOOKUP("k10+8",$I$2:$J$11,2,FALSE)+IFERROR(VLOOKUP(Karakterlap!$V$7,$A$24:$C$33,3,FALSE),0)</f>
        <v>14</v>
      </c>
      <c r="BC91" s="40">
        <f>VLOOKUP("k10+8",$I$2:$J$11,2,FALSE)+IFERROR(VLOOKUP(Karakterlap!$V$7,$A$24:$D$33,4,FALSE),0)</f>
        <v>14</v>
      </c>
      <c r="BD91" s="40">
        <f>VLOOKUP("k6+12",$I$2:$J$11,2,FALSE)+IFERROR(VLOOKUP(Karakterlap!$V$7,$A$24:$F$33,6,FALSE),0)</f>
        <v>16</v>
      </c>
      <c r="BE91" s="40">
        <f>VLOOKUP("k6+14",$I$2:$J$11,2,FALSE)+IFERROR(VLOOKUP(Karakterlap!$V$7,$A$24:$E$33,5,FALSE),0)</f>
        <v>18</v>
      </c>
      <c r="BF91" s="40">
        <f>VLOOKUP("k10+8",$I$2:$J$11,2,FALSE)+IFERROR(VLOOKUP(Karakterlap!$V$7,$A$24:$C$33,3,FALSE),0)</f>
        <v>14</v>
      </c>
      <c r="BG91" s="40">
        <f>VLOOKUP("3k6(2x)",$I$2:$J$11,2,FALSE)+IFERROR(VLOOKUP(Karakterlap!$V$7,$A$24:$H$33,8,FALSE),0)</f>
        <v>11</v>
      </c>
      <c r="BH91" s="40">
        <f>VLOOKUP("2k6+6",$I$2:$J$11,2,FALSE)+IFERROR(VLOOKUP(Karakterlap!$V$7,$A$24:$I$33,9,FALSE),0)</f>
        <v>13</v>
      </c>
      <c r="BI91" s="40">
        <f>VLOOKUP("k6+12",$I$2:$J$11,2,FALSE)</f>
        <v>16</v>
      </c>
      <c r="BJ91" s="40">
        <f>VLOOKUP("k10+8",$I$2:$J$11,2,FALSE)+IFERROR(VLOOKUP(Karakterlap!$V$7,$A$24:$J$33,10,FALSE),0)</f>
        <v>14</v>
      </c>
      <c r="BK91" s="40">
        <f>VLOOKUP("k6+12",$I$2:$J$11,2,FALSE)</f>
        <v>16</v>
      </c>
      <c r="BL91" s="40">
        <f>IF((SUM(Karakterlap!$F$3:$F$12)-SUM(BB91:BK91))&lt;0,0,SUM(Karakterlap!$F$3:$F$12)-SUM(BB91:BK91))</f>
        <v>0</v>
      </c>
      <c r="BM91" t="e">
        <f>IF(Karakterlap!$F$3&gt;18,IF((Karakterlap!$F$3-IF(BB91&gt;18,BB91,18))&gt;0,Karakterlap!$F$3-IF(BB91&gt;18,BB91,18),0),0)+IF(Karakterlap!$F$4&gt;18,IF((Karakterlap!$F$4-IF(BC91&gt;18,BC91,18))&gt;0,Karakterlap!$F$4-IF(BC91&gt;18,BC91,18),0),0)+IF(Karakterlap!$F$5&gt;18,IF((Karakterlap!$F$5-IF(BD91&gt;18,BD91,18))&gt;0,Karakterlap!$F$5-IF(BD91&gt;18,BD91,18),0),0)+IF(Karakterlap!$F$6&gt;18,IF((Karakterlap!$F$6-IF(BE91&gt;18,BE91,18))&gt;0,Karakterlap!$F$6-IF(BE91&gt;18,BE91,18),0),0)+IF(Karakterlap!$F$7&gt;18,IF((Karakterlap!$F$7-IF(BF91&gt;18,BF91,18))&gt;0,Karakterlap!$F$7-IF(BF91&gt;18,BF91,18),0),0)+IF(Karakterlap!$F$8&gt;18,IF((Karakterlap!$F$8-IF(BG91&gt;18,BG91,18))&gt;0,Karakterlap!$F$8-IF(BG91&gt;18,BG91,18),0),0)+IF(Karakterlap!$F$9&gt;18,IF((Karakterlap!$F$9-IF(BH91&gt;18,BH91,18))&gt;0,Karakterlap!$F$9-IF(BH91&gt;18,BH91,18),0),0)+IF(Karakterlap!$F$10&gt;18,IF((Karakterlap!$F$10-IF(BI91&gt;18,BI91,18))&gt;0,Karakterlap!$F$10-IF(BI91&gt;18,BI91,18),0),0)+IF(Karakterlap!$F$11&gt;18,IF((Karakterlap!$F$11-IF(BJ91&gt;18,BJ91,18))&gt;0,Karakterlap!$F$11-IF(BJ91&gt;18,BJ91,18),0),0)+IF(Karakterlap!$F$12&gt;18,IF((Karakterlap!$F$12-IF(BK91&gt;18,BK91,18))&gt;0,Karakterlap!$F$12-IF(BK91&gt;18,BK91,18),0),0)</f>
        <v>#VALUE!</v>
      </c>
    </row>
    <row r="92" spans="12:65" x14ac:dyDescent="0.25">
      <c r="L92" t="s">
        <v>63</v>
      </c>
      <c r="M92">
        <v>0</v>
      </c>
      <c r="N92">
        <v>151</v>
      </c>
      <c r="O92">
        <v>301</v>
      </c>
      <c r="P92">
        <v>601</v>
      </c>
      <c r="Q92">
        <v>1001</v>
      </c>
      <c r="R92">
        <v>2001</v>
      </c>
      <c r="S92">
        <v>4001</v>
      </c>
      <c r="T92">
        <v>9001</v>
      </c>
      <c r="U92">
        <v>17001</v>
      </c>
      <c r="V92">
        <v>38501</v>
      </c>
      <c r="W92">
        <v>58501</v>
      </c>
      <c r="X92">
        <v>78501</v>
      </c>
      <c r="Y92">
        <f>IFERROR(IF(VLOOKUP(L92,Karakterlap!$P$3:$Z$4,10,FALSE)&gt;13,108501+((VLOOKUP(L92,Karakterlap!$P$3:$Z$4,10,FALSE)-13)*31500),108501),108501)</f>
        <v>108501</v>
      </c>
      <c r="Z92" s="10">
        <v>7</v>
      </c>
      <c r="AA92" s="10">
        <v>17</v>
      </c>
      <c r="AB92" s="10">
        <v>72</v>
      </c>
      <c r="AC92" s="10">
        <v>0</v>
      </c>
      <c r="AD92" s="10">
        <f>IFERROR(VLOOKUP(L92,Karakterlap!$P$3:$Z$4,10,FALSE)*4,4)</f>
        <v>4</v>
      </c>
      <c r="AE92" s="10">
        <f>IFERROR(IF(Karakterlap!$P$5="Váltott kaszt",IF(Karakterlap!$P$3=Adattábla!$L92,Karakterlap!$Y$3*5,IF(Karakterlap!$P$4=Adattábla!$L92,(Karakterlap!$Y$4-Adattábla!$I$20)*1,1)),VLOOKUP(Adattábla!$L92,Karakterlap!$P$3:$Z$4,10,FALSE)*1),1)</f>
        <v>1</v>
      </c>
      <c r="AF92" s="10">
        <f>IFERROR(IF(Karakterlap!$P$5="Váltott kaszt",IF(Karakterlap!$P$3=Adattábla!$L92,Karakterlap!$Y$3*5,IF(Karakterlap!$P$4=Adattábla!$L92,(Karakterlap!$Y$4-Adattábla!$I$20)*1,1)),VLOOKUP(Adattábla!$L92,Karakterlap!$P$3:$Z$4,10,FALSE)*1),1)</f>
        <v>1</v>
      </c>
      <c r="AG92" s="10">
        <v>8</v>
      </c>
      <c r="AH92" s="10">
        <f>IF(Karakterlap!$P$5="Iker kaszt",IF(Karakterlap!$P$3=L92,IFERROR((Karakterlap!$P$6*12)+(VLOOKUP(L92,Karakterlap!$P$3:$Z$4,10,FALSE)-Karakterlap!$P$6),12),IF(Karakterlap!$P$4=L92,VLOOKUP(L92,Karakterlap!$P$3:$Z$4,10,FALSE),12)),IF(Karakterlap!$P$5="Váltott kaszt",IF(L92=Karakterlap!$P$3,(Karakterlap!$Y$3+3)*12,VLOOKUP(L92,Karakterlap!$P$3:$Z$4,10,FALSE)*12),IFERROR(VLOOKUP(L92,Karakterlap!$P$3:$Z$4,10,FALSE)*12,12)))</f>
        <v>12</v>
      </c>
      <c r="AI92" s="10">
        <v>0</v>
      </c>
      <c r="AJ92" s="10">
        <v>3</v>
      </c>
      <c r="AK92" s="10">
        <v>1</v>
      </c>
      <c r="AL92">
        <f>IFERROR(VLOOKUP(L92,Karakterlap!$P$3:$Z$4,10,FALSE)*($E$18),$E$18)</f>
        <v>6</v>
      </c>
      <c r="AM92">
        <f>IFERROR(VLOOKUP(L92,Karakterlap!$P$3:$Z$4,10,FALSE)*8,0)</f>
        <v>0</v>
      </c>
      <c r="AN92" t="s">
        <v>109</v>
      </c>
      <c r="AO92" t="str">
        <f>IFERROR((IF(Karakterlap!$F$9&gt;10,Karakterlap!$F$9-10,0))+5+((VLOOKUP(L92,Karakterlap!$P$3:$Z$4,10,FALSE)-1)*4),"más kaszt")</f>
        <v>más kaszt</v>
      </c>
      <c r="BA92">
        <f>IFERROR(IF(Karakterlap!$P$6&gt;13,108501+((Karakterlap!$P$6-13)*31500),108501),108501)</f>
        <v>108501</v>
      </c>
      <c r="BB92" s="40">
        <f>VLOOKUP("3k6",$I$2:$J$11,2,FALSE)+IFERROR(VLOOKUP(Karakterlap!$V$7,$A$24:$C$33,3,FALSE),0)</f>
        <v>10</v>
      </c>
      <c r="BC92" s="40">
        <f>VLOOKUP("3k6",$I$2:$J$11,2,FALSE)+IFERROR(VLOOKUP(Karakterlap!$V$7,$A$24:$D$33,4,FALSE),0)</f>
        <v>10</v>
      </c>
      <c r="BD92" s="40">
        <f>VLOOKUP("2k6+6",$I$2:$J$11,2,FALSE)+IFERROR(VLOOKUP(Karakterlap!$V$7,$A$24:$E$33,5,FALSE),0)</f>
        <v>13</v>
      </c>
      <c r="BE92" s="40">
        <f>VLOOKUP("k10+8",$I$2:$J$11,2,FALSE)+IFERROR(VLOOKUP(Karakterlap!$V$7,$A$24:$F$33,6,FALSE),0)</f>
        <v>14</v>
      </c>
      <c r="BF92" s="40">
        <f>VLOOKUP("2k6+6",$I$2:$J$11,2,FALSE)+IFERROR(VLOOKUP(Karakterlap!$V$7,$A$24:$G$33,7,FALSE),0)</f>
        <v>13</v>
      </c>
      <c r="BG92" s="40">
        <f>VLOOKUP("k6+14",$I$2:$J$11,2,FALSE)+IFERROR(VLOOKUP(Karakterlap!$V$7,$A$24:$H$33,8,FALSE),0)</f>
        <v>18</v>
      </c>
      <c r="BH92" s="40">
        <f>VLOOKUP("2k6+6",$I$2:$J$11,2,FALSE)+IFERROR(VLOOKUP(Karakterlap!$V$7,$A$24:$I$33,9,FALSE),0)</f>
        <v>13</v>
      </c>
      <c r="BI92" s="40">
        <f>VLOOKUP("2k6+6",$I$2:$J$11,2,FALSE)</f>
        <v>13</v>
      </c>
      <c r="BJ92" s="40">
        <f>VLOOKUP("k6+12",$I$2:$J$11,2,FALSE)+IFERROR(VLOOKUP(Karakterlap!$V$7,$A$24:$J$33,10,FALSE),0)</f>
        <v>16</v>
      </c>
      <c r="BK92" s="40">
        <f>VLOOKUP("2k6+6",$I$2:$J$11,2,FALSE)</f>
        <v>13</v>
      </c>
      <c r="BL92" s="40">
        <f>IF((SUM(Karakterlap!$F$3:$F$12)-SUM(BB92:BK92))&lt;0,0,SUM(Karakterlap!$F$3:$F$12)-SUM(BB92:BK92))</f>
        <v>0</v>
      </c>
      <c r="BM92" t="e">
        <f>IF(Karakterlap!$F$3&gt;18,IF((Karakterlap!$F$3-IF(BB92&gt;18,BB92,18))&gt;0,Karakterlap!$F$3-IF(BB92&gt;18,BB92,18),0),0)+IF(Karakterlap!$F$4&gt;18,IF((Karakterlap!$F$4-IF(BC92&gt;18,BC92,18))&gt;0,Karakterlap!$F$4-IF(BC92&gt;18,BC92,18),0),0)+IF(Karakterlap!$F$5&gt;18,IF((Karakterlap!$F$5-IF(BD92&gt;18,BD92,18))&gt;0,Karakterlap!$F$5-IF(BD92&gt;18,BD92,18),0),0)+IF(Karakterlap!$F$6&gt;18,IF((Karakterlap!$F$6-IF(BE92&gt;18,BE92,18))&gt;0,Karakterlap!$F$6-IF(BE92&gt;18,BE92,18),0),0)+IF(Karakterlap!$F$7&gt;18,IF((Karakterlap!$F$7-IF(BF92&gt;18,BF92,18))&gt;0,Karakterlap!$F$7-IF(BF92&gt;18,BF92,18),0),0)+IF(Karakterlap!$F$8&gt;18,IF((Karakterlap!$F$8-IF(BG92&gt;18,BG92,18))&gt;0,Karakterlap!$F$8-IF(BG92&gt;18,BG92,18),0),0)+IF(Karakterlap!$F$9&gt;18,IF((Karakterlap!$F$9-IF(BH92&gt;18,BH92,18))&gt;0,Karakterlap!$F$9-IF(BH92&gt;18,BH92,18),0),0)+IF(Karakterlap!$F$10&gt;18,IF((Karakterlap!$F$10-IF(BI92&gt;18,BI92,18))&gt;0,Karakterlap!$F$10-IF(BI92&gt;18,BI92,18),0),0)+IF(Karakterlap!$F$11&gt;18,IF((Karakterlap!$F$11-IF(BJ92&gt;18,BJ92,18))&gt;0,Karakterlap!$F$11-IF(BJ92&gt;18,BJ92,18),0),0)+IF(Karakterlap!$F$12&gt;18,IF((Karakterlap!$F$12-IF(BK92&gt;18,BK92,18))&gt;0,Karakterlap!$F$12-IF(BK92&gt;18,BK92,18),0),0)</f>
        <v>#VALUE!</v>
      </c>
    </row>
    <row r="93" spans="12:65" x14ac:dyDescent="0.25">
      <c r="L93" t="s">
        <v>64</v>
      </c>
      <c r="M93">
        <v>0</v>
      </c>
      <c r="N93">
        <v>201</v>
      </c>
      <c r="O93">
        <v>401</v>
      </c>
      <c r="P93">
        <v>801</v>
      </c>
      <c r="Q93">
        <v>1601</v>
      </c>
      <c r="R93">
        <v>4001</v>
      </c>
      <c r="S93">
        <v>8001</v>
      </c>
      <c r="T93">
        <v>16001</v>
      </c>
      <c r="U93">
        <v>32001</v>
      </c>
      <c r="V93">
        <v>59001</v>
      </c>
      <c r="W93">
        <v>90501</v>
      </c>
      <c r="X93">
        <v>140001</v>
      </c>
      <c r="Y93">
        <f>IFERROR(IF(VLOOKUP(L93,Karakterlap!$P$3:$Z$4,10,FALSE)&gt;13,190001+((VLOOKUP(L93,Karakterlap!$P$3:$Z$4,10,FALSE)-13)*55000),190001),190001)</f>
        <v>190001</v>
      </c>
      <c r="Z93" s="10">
        <v>7</v>
      </c>
      <c r="AA93" s="10">
        <v>17</v>
      </c>
      <c r="AB93" s="10">
        <v>72</v>
      </c>
      <c r="AC93" s="10">
        <v>5</v>
      </c>
      <c r="AD93" s="10">
        <f>IFERROR(VLOOKUP(L93,Karakterlap!$P$3:$Z$4,10,FALSE)*7,7)</f>
        <v>7</v>
      </c>
      <c r="AE93" s="10">
        <f>IFERROR(IF(Karakterlap!$P$5="Váltott kaszt",IF(Karakterlap!$P$3=Adattábla!$L93,Karakterlap!$Y$3*5,IF(Karakterlap!$P$4=Adattábla!$L93,(Karakterlap!$Y$4-Adattábla!$I$20)*1,1)),VLOOKUP(Adattábla!$L93,Karakterlap!$P$3:$Z$4,10,FALSE)*1),1)</f>
        <v>1</v>
      </c>
      <c r="AF93" s="10">
        <f>IFERROR(IF(Karakterlap!$P$5="Váltott kaszt",IF(Karakterlap!$P$3=Adattábla!$L93,Karakterlap!$Y$3*5,IF(Karakterlap!$P$4=Adattábla!$L93,(Karakterlap!$Y$4-Adattábla!$I$20)*1,1)),VLOOKUP(Adattábla!$L93,Karakterlap!$P$3:$Z$4,10,FALSE)*1),1)</f>
        <v>1</v>
      </c>
      <c r="AG93" s="10">
        <v>7</v>
      </c>
      <c r="AH93" s="10">
        <f>IF(Karakterlap!$P$5="Iker kaszt",IF(Karakterlap!$P$3=L93,IFERROR((Karakterlap!$P$6*8)+(VLOOKUP(L93,Karakterlap!$P$3:$Z$4,10,FALSE)-Karakterlap!$P$6),8),IF(Karakterlap!$P$4=L93,VLOOKUP(L93,Karakterlap!$P$3:$Z$4,10,FALSE),8)),IF(Karakterlap!$P$5="Váltott kaszt",IF(L93=Karakterlap!$P$3,(Karakterlap!$Y$3+3)*8,VLOOKUP(L93,Karakterlap!$P$3:$Z$4,10,FALSE)*8),IFERROR(VLOOKUP(L93,Karakterlap!$P$3:$Z$4,10,FALSE)*8,8)))</f>
        <v>8</v>
      </c>
      <c r="AI93" s="10">
        <f>IFERROR(IF(Karakterlap!$P$5="Váltott kaszt",IF(L93=Karakterlap!$P$3,Karakterlap!$P$6*15,VLOOKUP(L93,Karakterlap!$P$3:$Z$4,10,FALSE)*15),VLOOKUP(L93,Karakterlap!$P$3:$Z$4,10,FALSE)*15),15)</f>
        <v>15</v>
      </c>
      <c r="AJ93" s="10">
        <v>3</v>
      </c>
      <c r="AK93" s="10">
        <v>4</v>
      </c>
      <c r="AL93">
        <f>IFERROR(VLOOKUP(L93,Karakterlap!$P$3:$Z$4,10,FALSE)*($E$18+1),$E$18+1)</f>
        <v>7</v>
      </c>
      <c r="AM93">
        <f>IFERROR(VLOOKUP(L93,Karakterlap!$P$3:$Z$4,10,FALSE)*7,0)</f>
        <v>0</v>
      </c>
      <c r="AN93" t="s">
        <v>109</v>
      </c>
      <c r="AO93" t="str">
        <f>IFERROR((IF(Karakterlap!$F$9&gt;10,Karakterlap!$F$9-10,0))+5+((VLOOKUP(L93,Karakterlap!$P$3:$Z$4,10,FALSE)-1)*4),"más kaszt")</f>
        <v>más kaszt</v>
      </c>
      <c r="AT93" s="17">
        <v>15</v>
      </c>
      <c r="AU93" s="17">
        <v>15</v>
      </c>
      <c r="BA93">
        <f>IFERROR(IF(Karakterlap!$P$6&gt;13,190001+((Karakterlap!$P$6-13)*55000),190001),190001)</f>
        <v>190001</v>
      </c>
      <c r="BB93" s="40">
        <f>VLOOKUP("3k6(2x)",$I$2:$J$11,2,FALSE)+IFERROR(VLOOKUP(Karakterlap!$V$7,$A$24:$C$33,3,FALSE),0)</f>
        <v>11</v>
      </c>
      <c r="BC93" s="40">
        <f>VLOOKUP("3k6(2x)",$I$2:$J$11,2,FALSE)+IFERROR(VLOOKUP(Karakterlap!$V$7,$A$24:$D$33,4,FALSE),0)</f>
        <v>11</v>
      </c>
      <c r="BD93" s="40">
        <f>VLOOKUP("k10+8",$I$2:$J$11,2,FALSE)+IFERROR(VLOOKUP(Karakterlap!$V$7,$A$24:$E$33,5,FALSE),0)</f>
        <v>14</v>
      </c>
      <c r="BE93" s="40">
        <f>VLOOKUP("k6+12",$I$2:$J$11,2,FALSE)+IFERROR(VLOOKUP(Karakterlap!$V$7,$A$24:$F$33,6,FALSE),0)</f>
        <v>16</v>
      </c>
      <c r="BF93" s="40">
        <f>VLOOKUP("2k6+6",$I$2:$J$11,2,FALSE)+IFERROR(VLOOKUP(Karakterlap!$V$7,$A$24:$G$33,7,FALSE),0)</f>
        <v>13</v>
      </c>
      <c r="BG93" s="40">
        <f>VLOOKUP("3k6",$I$2:$J$11,2,FALSE)+IFERROR(VLOOKUP(Karakterlap!$V$7,$A$24:$H$33,8,FALSE),0)</f>
        <v>10</v>
      </c>
      <c r="BH93" s="40">
        <f>VLOOKUP("2k6+6",$I$2:$J$11,2,FALSE)+IFERROR(VLOOKUP(Karakterlap!$V$7,$A$24:$I$33,9,FALSE),0)</f>
        <v>13</v>
      </c>
      <c r="BI93" s="40">
        <f>VLOOKUP("2k6+6",$I$2:$J$11,2,FALSE)</f>
        <v>13</v>
      </c>
      <c r="BJ93" s="40">
        <f>VLOOKUP("k6+12",$I$2:$J$11,2,FALSE)+IFERROR(VLOOKUP(Karakterlap!$V$7,$A$24:$J$33,10,FALSE),0)</f>
        <v>16</v>
      </c>
      <c r="BK93" s="40">
        <f>VLOOKUP("2k6+6",$I$2:$J$11,2,FALSE)</f>
        <v>13</v>
      </c>
      <c r="BL93" s="40">
        <f>IF((SUM(Karakterlap!$F$3:$F$12)-SUM(BB93:BK93))&lt;0,0,SUM(Karakterlap!$F$3:$F$12)-SUM(BB93:BK93))</f>
        <v>0</v>
      </c>
      <c r="BM93" t="e">
        <f>IF(Karakterlap!$F$3&gt;18,IF((Karakterlap!$F$3-IF(BB93&gt;18,BB93,18))&gt;0,Karakterlap!$F$3-IF(BB93&gt;18,BB93,18),0),0)+IF(Karakterlap!$F$4&gt;18,IF((Karakterlap!$F$4-IF(BC93&gt;18,BC93,18))&gt;0,Karakterlap!$F$4-IF(BC93&gt;18,BC93,18),0),0)+IF(Karakterlap!$F$5&gt;18,IF((Karakterlap!$F$5-IF(BD93&gt;18,BD93,18))&gt;0,Karakterlap!$F$5-IF(BD93&gt;18,BD93,18),0),0)+IF(Karakterlap!$F$6&gt;18,IF((Karakterlap!$F$6-IF(BE93&gt;18,BE93,18))&gt;0,Karakterlap!$F$6-IF(BE93&gt;18,BE93,18),0),0)+IF(Karakterlap!$F$7&gt;18,IF((Karakterlap!$F$7-IF(BF93&gt;18,BF93,18))&gt;0,Karakterlap!$F$7-IF(BF93&gt;18,BF93,18),0),0)+IF(Karakterlap!$F$8&gt;18,IF((Karakterlap!$F$8-IF(BG93&gt;18,BG93,18))&gt;0,Karakterlap!$F$8-IF(BG93&gt;18,BG93,18),0),0)+IF(Karakterlap!$F$9&gt;18,IF((Karakterlap!$F$9-IF(BH93&gt;18,BH93,18))&gt;0,Karakterlap!$F$9-IF(BH93&gt;18,BH93,18),0),0)+IF(Karakterlap!$F$10&gt;18,IF((Karakterlap!$F$10-IF(BI93&gt;18,BI93,18))&gt;0,Karakterlap!$F$10-IF(BI93&gt;18,BI93,18),0),0)+IF(Karakterlap!$F$11&gt;18,IF((Karakterlap!$F$11-IF(BJ93&gt;18,BJ93,18))&gt;0,Karakterlap!$F$11-IF(BJ93&gt;18,BJ93,18),0),0)+IF(Karakterlap!$F$12&gt;18,IF((Karakterlap!$F$12-IF(BK93&gt;18,BK93,18))&gt;0,Karakterlap!$F$12-IF(BK93&gt;18,BK93,18),0),0)</f>
        <v>#VALUE!</v>
      </c>
    </row>
    <row r="94" spans="12:65" x14ac:dyDescent="0.25">
      <c r="L94" t="s">
        <v>65</v>
      </c>
      <c r="M94">
        <v>0</v>
      </c>
      <c r="N94">
        <v>171</v>
      </c>
      <c r="O94">
        <v>351</v>
      </c>
      <c r="P94">
        <v>701</v>
      </c>
      <c r="Q94">
        <v>1501</v>
      </c>
      <c r="R94">
        <v>3001</v>
      </c>
      <c r="S94">
        <v>7001</v>
      </c>
      <c r="T94">
        <v>12001</v>
      </c>
      <c r="U94">
        <v>22001</v>
      </c>
      <c r="V94">
        <v>52501</v>
      </c>
      <c r="W94">
        <v>85501</v>
      </c>
      <c r="X94">
        <v>135001</v>
      </c>
      <c r="Y94">
        <f>IFERROR(IF(VLOOKUP(L94,Karakterlap!$P$3:$Z$4,10,FALSE)&gt;13,175501+((VLOOKUP(L94,Karakterlap!$P$3:$Z$4,10,FALSE)-13)*58500),175501),175501)</f>
        <v>175501</v>
      </c>
      <c r="Z94" s="10">
        <v>6</v>
      </c>
      <c r="AA94" s="10">
        <v>17</v>
      </c>
      <c r="AB94" s="10">
        <v>72</v>
      </c>
      <c r="AC94" s="10">
        <v>0</v>
      </c>
      <c r="AD94" s="10">
        <f>IFERROR(VLOOKUP(L94,Karakterlap!$P$3:$Z$4,10,FALSE)*8,8)</f>
        <v>8</v>
      </c>
      <c r="AE94" s="10">
        <f>IFERROR(IF(Karakterlap!$P$5="Váltott kaszt",IF(Karakterlap!$P$3=Adattábla!$L94,Karakterlap!$Y$3*3,IF(Karakterlap!$P$4=Adattábla!$L94,(Karakterlap!$Y$4-Adattábla!$I$20)*3,3)),VLOOKUP(Adattábla!$L94,Karakterlap!$P$3:$Z$4,10,FALSE)*3),3)</f>
        <v>3</v>
      </c>
      <c r="AF94" s="10">
        <f>IFERROR(IF(Karakterlap!$P$5="Váltott kaszt",IF(Karakterlap!$P$3=Adattábla!$L94,Karakterlap!$Y$3*3,IF(Karakterlap!$P$4=Adattábla!$L94,(Karakterlap!$Y$4-Adattábla!$I$20)*3,3)),VLOOKUP(Adattábla!$L94,Karakterlap!$P$3:$Z$4,10,FALSE)*3),3)</f>
        <v>3</v>
      </c>
      <c r="AG94" s="10">
        <v>3</v>
      </c>
      <c r="AH94" s="10">
        <f>IF(Karakterlap!$P$5="Iker kaszt",IF(Karakterlap!$P$3=L94,IFERROR((Karakterlap!$P$6*5)+(VLOOKUP(L94,Karakterlap!$P$3:$Z$4,10,FALSE)-Karakterlap!$P$6),5),IF(Karakterlap!$P$4=L94,VLOOKUP(L94,Karakterlap!$P$3:$Z$4,10,FALSE),5)),IF(Karakterlap!$P$5="Váltott kaszt",IF(L94=Karakterlap!$P$3,(Karakterlap!$Y$3+3)*5,VLOOKUP(L94,Karakterlap!$P$3:$Z$4,10,FALSE)*5),IFERROR(VLOOKUP(L94,Karakterlap!$P$3:$Z$4,10,FALSE)*5,5)))</f>
        <v>5</v>
      </c>
      <c r="AI94" s="10">
        <v>0</v>
      </c>
      <c r="AJ94" s="10">
        <v>5</v>
      </c>
      <c r="AK94" s="10">
        <v>4</v>
      </c>
      <c r="AL94">
        <f>IFERROR(VLOOKUP(L94,Karakterlap!$P$3:$Z$4,10,FALSE)*($E$18+1),$E$18+1)</f>
        <v>7</v>
      </c>
      <c r="AM94">
        <f>IFERROR(VLOOKUP(L94,Karakterlap!$P$3:$Z$4,10,FALSE)*6,0)</f>
        <v>0</v>
      </c>
      <c r="AN94" t="s">
        <v>109</v>
      </c>
      <c r="AO94" t="str">
        <f>IFERROR((IF(Karakterlap!$F$9&gt;10,Karakterlap!$F$9-10,0))+5+((VLOOKUP(L94,Karakterlap!$P$3:$Z$4,10,FALSE)-1)*4),"más kaszt")</f>
        <v>más kaszt</v>
      </c>
      <c r="BA94">
        <f>IFERROR(IF(Karakterlap!$P$6&gt;13,175501+((Karakterlap!$P$6-13)*58500),175501),175501)</f>
        <v>175501</v>
      </c>
      <c r="BB94" s="40">
        <f>VLOOKUP("2k6+6",$I$2:$J$11,2,FALSE)+IFERROR(VLOOKUP(Karakterlap!$V$7,$A$24:$C$33,3,FALSE),0)</f>
        <v>13</v>
      </c>
      <c r="BC94" s="40">
        <f>VLOOKUP("2k6+6",$I$2:$J$11,2,FALSE)+IFERROR(VLOOKUP(Karakterlap!$V$7,$A$24:$D$33,4,FALSE),0)</f>
        <v>13</v>
      </c>
      <c r="BD94" s="40">
        <f>VLOOKUP("3k6(2x)",$I$2:$J$11,2,FALSE)+IFERROR(VLOOKUP(Karakterlap!$V$7,$A$24:$E$33,5,FALSE),0)</f>
        <v>11</v>
      </c>
      <c r="BE94" s="40">
        <f>VLOOKUP("3k6(2x)",$I$2:$J$11,2,FALSE)+IFERROR(VLOOKUP(Karakterlap!$V$7,$A$24:$F$33,6,FALSE),0)</f>
        <v>11</v>
      </c>
      <c r="BF94" s="40">
        <f>VLOOKUP("2k6+6",$I$2:$J$11,2,FALSE)+IFERROR(VLOOKUP(Karakterlap!$V$7,$A$24:$G$33,7,FALSE),0)</f>
        <v>13</v>
      </c>
      <c r="BG94" s="40">
        <f>VLOOKUP("3k6",$I$2:$J$11,2,FALSE)+IFERROR(VLOOKUP(Karakterlap!$V$7,$A$24:$H$33,8,FALSE),0)</f>
        <v>10</v>
      </c>
      <c r="BH94" s="40">
        <f>VLOOKUP("2k6+6",$I$2:$J$11,2,FALSE)+IFERROR(VLOOKUP(Karakterlap!$V$7,$A$24:$I$33,9,FALSE),0)</f>
        <v>13</v>
      </c>
      <c r="BI94" s="40">
        <f>VLOOKUP("2k6+6",$I$2:$J$11,2,FALSE)</f>
        <v>13</v>
      </c>
      <c r="BJ94" s="40">
        <f>VLOOKUP("2k6+6",$I$2:$J$11,2,FALSE)+IFERROR(VLOOKUP(Karakterlap!$V$7,$A$24:$J$33,10,FALSE),0)</f>
        <v>13</v>
      </c>
      <c r="BK94" s="40">
        <f>VLOOKUP("2k6+6",$I$2:$J$11,2,FALSE)</f>
        <v>13</v>
      </c>
      <c r="BL94" s="40">
        <f>IF((SUM(Karakterlap!$F$3:$F$12)-SUM(BB94:BK94))&lt;0,0,SUM(Karakterlap!$F$3:$F$12)-SUM(BB94:BK94))</f>
        <v>0</v>
      </c>
      <c r="BM94" t="e">
        <f>IF(Karakterlap!$F$3&gt;18,IF((Karakterlap!$F$3-IF(BB94&gt;18,BB94,18))&gt;0,Karakterlap!$F$3-IF(BB94&gt;18,BB94,18),0),0)+IF(Karakterlap!$F$4&gt;18,IF((Karakterlap!$F$4-IF(BC94&gt;18,BC94,18))&gt;0,Karakterlap!$F$4-IF(BC94&gt;18,BC94,18),0),0)+IF(Karakterlap!$F$5&gt;18,IF((Karakterlap!$F$5-IF(BD94&gt;18,BD94,18))&gt;0,Karakterlap!$F$5-IF(BD94&gt;18,BD94,18),0),0)+IF(Karakterlap!$F$6&gt;18,IF((Karakterlap!$F$6-IF(BE94&gt;18,BE94,18))&gt;0,Karakterlap!$F$6-IF(BE94&gt;18,BE94,18),0),0)+IF(Karakterlap!$F$7&gt;18,IF((Karakterlap!$F$7-IF(BF94&gt;18,BF94,18))&gt;0,Karakterlap!$F$7-IF(BF94&gt;18,BF94,18),0),0)+IF(Karakterlap!$F$8&gt;18,IF((Karakterlap!$F$8-IF(BG94&gt;18,BG94,18))&gt;0,Karakterlap!$F$8-IF(BG94&gt;18,BG94,18),0),0)+IF(Karakterlap!$F$9&gt;18,IF((Karakterlap!$F$9-IF(BH94&gt;18,BH94,18))&gt;0,Karakterlap!$F$9-IF(BH94&gt;18,BH94,18),0),0)+IF(Karakterlap!$F$10&gt;18,IF((Karakterlap!$F$10-IF(BI94&gt;18,BI94,18))&gt;0,Karakterlap!$F$10-IF(BI94&gt;18,BI94,18),0),0)+IF(Karakterlap!$F$11&gt;18,IF((Karakterlap!$F$11-IF(BJ94&gt;18,BJ94,18))&gt;0,Karakterlap!$F$11-IF(BJ94&gt;18,BJ94,18),0),0)+IF(Karakterlap!$F$12&gt;18,IF((Karakterlap!$F$12-IF(BK94&gt;18,BK94,18))&gt;0,Karakterlap!$F$12-IF(BK94&gt;18,BK94,18),0),0)</f>
        <v>#VALUE!</v>
      </c>
    </row>
    <row r="95" spans="12:65" x14ac:dyDescent="0.25">
      <c r="L95" t="s">
        <v>232</v>
      </c>
      <c r="M95">
        <v>0</v>
      </c>
      <c r="N95">
        <v>171</v>
      </c>
      <c r="O95">
        <v>351</v>
      </c>
      <c r="P95">
        <v>701</v>
      </c>
      <c r="Q95">
        <v>1501</v>
      </c>
      <c r="R95">
        <v>3001</v>
      </c>
      <c r="S95">
        <v>7001</v>
      </c>
      <c r="T95">
        <v>12001</v>
      </c>
      <c r="U95">
        <v>22001</v>
      </c>
      <c r="V95">
        <v>52501</v>
      </c>
      <c r="W95">
        <v>85501</v>
      </c>
      <c r="X95">
        <v>135001</v>
      </c>
      <c r="Y95">
        <f>IFERROR(IF(VLOOKUP(L95,Karakterlap!$P$3:$Z$4,10,FALSE)&gt;13,175501+((VLOOKUP(L95,Karakterlap!$P$3:$Z$4,10,FALSE)-13)*58500),175501),175501)</f>
        <v>175501</v>
      </c>
      <c r="Z95" s="10">
        <v>6</v>
      </c>
      <c r="AA95" s="10">
        <v>17</v>
      </c>
      <c r="AB95" s="10">
        <v>72</v>
      </c>
      <c r="AC95" s="10">
        <v>0</v>
      </c>
      <c r="AD95" s="10">
        <f>IFERROR(IF(VLOOKUP(L95,Karakterlap!$P$3:$Z$4,10,FALSE)&gt;4,32+((VLOOKUP(L95,Karakterlap!$P$3:$Z$4,10,FALSE)-4)*9),VLOOKUP(L95,Karakterlap!$P$3:$Z$4,10,FALSE)*8),9)</f>
        <v>9</v>
      </c>
      <c r="AE95" s="10">
        <f>IFERROR(IF(Karakterlap!$P$5="Váltott kaszt",IF(Karakterlap!$P$3=Adattábla!$L95,Karakterlap!$Y$3*3,IF(Karakterlap!$P$4=Adattábla!$L95,(Karakterlap!$Y$4-Adattábla!$I$20)*3,3)),VLOOKUP(Adattábla!$L95,Karakterlap!$P$3:$Z$4,10,FALSE)*3),3)</f>
        <v>3</v>
      </c>
      <c r="AF95" s="10">
        <f>IFERROR(IF(Karakterlap!$P$5="Váltott kaszt",IF(Karakterlap!$P$3=Adattábla!$L95,Karakterlap!$Y$3*3,IF(Karakterlap!$P$4=Adattábla!$L95,(Karakterlap!$Y$4-Adattábla!$I$20)*3,3)),VLOOKUP(Adattábla!$L95,Karakterlap!$P$3:$Z$4,10,FALSE)*3),3)</f>
        <v>3</v>
      </c>
      <c r="AG95" s="10">
        <v>3</v>
      </c>
      <c r="AH95" s="10">
        <f>IF(Karakterlap!$P$5="Iker kaszt",IF(Karakterlap!$P$3=L95,IFERROR((Karakterlap!$P$6*5)+(VLOOKUP(L95,Karakterlap!$P$3:$Z$4,10,FALSE)-Karakterlap!$P$6),5),IF(Karakterlap!$P$4=L95,VLOOKUP(L95,Karakterlap!$P$3:$Z$4,10,FALSE),5)),IF(Karakterlap!$P$5="Váltott kaszt",IF(L95=Karakterlap!$P$3,(Karakterlap!$Y$3+3)*5,VLOOKUP(L95,Karakterlap!$P$3:$Z$4,10,FALSE)*5),IFERROR(VLOOKUP(L95,Karakterlap!$P$3:$Z$4,10,FALSE)*5,5)))</f>
        <v>5</v>
      </c>
      <c r="AI95" s="10">
        <v>0</v>
      </c>
      <c r="AJ95" s="10">
        <v>5</v>
      </c>
      <c r="AK95" s="10">
        <v>4</v>
      </c>
      <c r="AL95">
        <f>IFERROR(VLOOKUP(L95,Karakterlap!$P$3:$Z$4,10,FALSE)*($E$18+1),$E$18+1)</f>
        <v>7</v>
      </c>
      <c r="AM95">
        <f>IFERROR(VLOOKUP(L95,Karakterlap!$P$3:$Z$4,10,FALSE)*6,0)</f>
        <v>0</v>
      </c>
      <c r="AN95" t="s">
        <v>109</v>
      </c>
      <c r="AO95" t="str">
        <f>IFERROR((IF(Karakterlap!$F$9&gt;10,Karakterlap!$F$9-10,0))+5+((VLOOKUP(L95,Karakterlap!$P$3:$Z$4,10,FALSE)-1)*4),"más kaszt")</f>
        <v>más kaszt</v>
      </c>
      <c r="BA95">
        <f>IFERROR(IF(Karakterlap!$P$6&gt;13,175501+((Karakterlap!$P$6-13)*58500),175501),175501)</f>
        <v>175501</v>
      </c>
      <c r="BB95" s="40">
        <f>VLOOKUP("2k6+6",$I$2:$J$11,2,FALSE)+IFERROR(VLOOKUP(Karakterlap!$V$7,$A$24:$C$33,3,FALSE),0)</f>
        <v>13</v>
      </c>
      <c r="BC95" s="40">
        <f>VLOOKUP("2k6+6",$I$2:$J$11,2,FALSE)+IFERROR(VLOOKUP(Karakterlap!$V$7,$A$24:$D$33,4,FALSE),0)</f>
        <v>13</v>
      </c>
      <c r="BD95" s="40">
        <f>VLOOKUP("3k6(2x)",$I$2:$J$11,2,FALSE)+IFERROR(VLOOKUP(Karakterlap!$V$7,$A$24:$E$33,5,FALSE),0)</f>
        <v>11</v>
      </c>
      <c r="BE95" s="40">
        <f>VLOOKUP("3k6(2x)",$I$2:$J$11,2,FALSE)+IFERROR(VLOOKUP(Karakterlap!$V$7,$A$24:$F$33,6,FALSE),0)</f>
        <v>11</v>
      </c>
      <c r="BF95" s="40">
        <f>VLOOKUP("2k6+6",$I$2:$J$11,2,FALSE)+IFERROR(VLOOKUP(Karakterlap!$V$7,$A$24:$G$33,7,FALSE),0)</f>
        <v>13</v>
      </c>
      <c r="BG95" s="40">
        <f>VLOOKUP("3k6",$I$2:$J$11,2,FALSE)+IFERROR(VLOOKUP(Karakterlap!$V$7,$A$24:$H$33,8,FALSE),0)</f>
        <v>10</v>
      </c>
      <c r="BH95" s="40">
        <f>VLOOKUP("2k6+6",$I$2:$J$11,2,FALSE)+IFERROR(VLOOKUP(Karakterlap!$V$7,$A$24:$I$33,9,FALSE),0)</f>
        <v>13</v>
      </c>
      <c r="BI95" s="40">
        <f t="shared" ref="BI95:BI98" si="6">VLOOKUP("2k6+6",$I$2:$J$11,2,FALSE)</f>
        <v>13</v>
      </c>
      <c r="BJ95" s="40">
        <f>VLOOKUP("2k6+6",$I$2:$J$11,2,FALSE)+IFERROR(VLOOKUP(Karakterlap!$V$7,$A$24:$J$33,10,FALSE),0)</f>
        <v>13</v>
      </c>
      <c r="BK95" s="40">
        <f t="shared" ref="BK95:BK98" si="7">VLOOKUP("2k6+6",$I$2:$J$11,2,FALSE)</f>
        <v>13</v>
      </c>
      <c r="BL95" s="40">
        <f>IF((SUM(Karakterlap!$F$3:$F$12)-SUM(BB95:BK95))&lt;0,0,SUM(Karakterlap!$F$3:$F$12)-SUM(BB95:BK95))</f>
        <v>0</v>
      </c>
      <c r="BM95" t="e">
        <f>IF(Karakterlap!$F$3&gt;18,IF((Karakterlap!$F$3-IF(BB95&gt;18,BB95,18))&gt;0,Karakterlap!$F$3-IF(BB95&gt;18,BB95,18),0),0)+IF(Karakterlap!$F$4&gt;18,IF((Karakterlap!$F$4-IF(BC95&gt;18,BC95,18))&gt;0,Karakterlap!$F$4-IF(BC95&gt;18,BC95,18),0),0)+IF(Karakterlap!$F$5&gt;18,IF((Karakterlap!$F$5-IF(BD95&gt;18,BD95,18))&gt;0,Karakterlap!$F$5-IF(BD95&gt;18,BD95,18),0),0)+IF(Karakterlap!$F$6&gt;18,IF((Karakterlap!$F$6-IF(BE95&gt;18,BE95,18))&gt;0,Karakterlap!$F$6-IF(BE95&gt;18,BE95,18),0),0)+IF(Karakterlap!$F$7&gt;18,IF((Karakterlap!$F$7-IF(BF95&gt;18,BF95,18))&gt;0,Karakterlap!$F$7-IF(BF95&gt;18,BF95,18),0),0)+IF(Karakterlap!$F$8&gt;18,IF((Karakterlap!$F$8-IF(BG95&gt;18,BG95,18))&gt;0,Karakterlap!$F$8-IF(BG95&gt;18,BG95,18),0),0)+IF(Karakterlap!$F$9&gt;18,IF((Karakterlap!$F$9-IF(BH95&gt;18,BH95,18))&gt;0,Karakterlap!$F$9-IF(BH95&gt;18,BH95,18),0),0)+IF(Karakterlap!$F$10&gt;18,IF((Karakterlap!$F$10-IF(BI95&gt;18,BI95,18))&gt;0,Karakterlap!$F$10-IF(BI95&gt;18,BI95,18),0),0)+IF(Karakterlap!$F$11&gt;18,IF((Karakterlap!$F$11-IF(BJ95&gt;18,BJ95,18))&gt;0,Karakterlap!$F$11-IF(BJ95&gt;18,BJ95,18),0),0)+IF(Karakterlap!$F$12&gt;18,IF((Karakterlap!$F$12-IF(BK95&gt;18,BK95,18))&gt;0,Karakterlap!$F$12-IF(BK95&gt;18,BK95,18),0),0)</f>
        <v>#VALUE!</v>
      </c>
    </row>
    <row r="96" spans="12:65" x14ac:dyDescent="0.25">
      <c r="L96" t="s">
        <v>233</v>
      </c>
      <c r="M96">
        <v>0</v>
      </c>
      <c r="N96">
        <v>171</v>
      </c>
      <c r="O96">
        <v>351</v>
      </c>
      <c r="P96">
        <v>701</v>
      </c>
      <c r="Q96">
        <v>1501</v>
      </c>
      <c r="R96">
        <v>3001</v>
      </c>
      <c r="S96">
        <v>7001</v>
      </c>
      <c r="T96">
        <v>12001</v>
      </c>
      <c r="U96">
        <v>22001</v>
      </c>
      <c r="V96">
        <v>52501</v>
      </c>
      <c r="W96">
        <v>85501</v>
      </c>
      <c r="X96">
        <v>135001</v>
      </c>
      <c r="Y96">
        <f>IFERROR(IF(VLOOKUP(L96,Karakterlap!$P$3:$Z$4,10,FALSE)&gt;13,175501+((VLOOKUP(L96,Karakterlap!$P$3:$Z$4,10,FALSE)-13)*58500),175501),175501)</f>
        <v>175501</v>
      </c>
      <c r="Z96" s="10">
        <v>6</v>
      </c>
      <c r="AA96" s="10">
        <v>17</v>
      </c>
      <c r="AB96" s="10">
        <v>72</v>
      </c>
      <c r="AC96" s="10">
        <v>0</v>
      </c>
      <c r="AD96" s="10">
        <f>IFERROR(VLOOKUP(L96,Karakterlap!$P$3:$Z$4,10,FALSE)*8,8)</f>
        <v>8</v>
      </c>
      <c r="AE96" s="10">
        <f>IFERROR(IF(Karakterlap!$P$5="Váltott kaszt",IF(Karakterlap!$P$3=Adattábla!$L96,Karakterlap!$Y$3*3,IF(Karakterlap!$P$4=Adattábla!$L96,(Karakterlap!$Y$4-Adattábla!$I$20)*3,3)),VLOOKUP(Adattábla!$L96,Karakterlap!$P$3:$Z$4,10,FALSE)*3),3)</f>
        <v>3</v>
      </c>
      <c r="AF96" s="10">
        <f>IFERROR(IF(Karakterlap!$P$5="Váltott kaszt",IF(Karakterlap!$P$3=Adattábla!$L96,Karakterlap!$Y$3*3,IF(Karakterlap!$P$4=Adattábla!$L96,(Karakterlap!$Y$4-Adattábla!$I$20)*3,3)),VLOOKUP(Adattábla!$L96,Karakterlap!$P$3:$Z$4,10,FALSE)*3),3)</f>
        <v>3</v>
      </c>
      <c r="AG96" s="10">
        <v>3</v>
      </c>
      <c r="AH96" s="10">
        <f>IF(Karakterlap!$P$5="Iker kaszt",IF(Karakterlap!$P$3=L96,IFERROR((Karakterlap!$P$6*5)+(VLOOKUP(L96,Karakterlap!$P$3:$Z$4,10,FALSE)-Karakterlap!$P$6),5),IF(Karakterlap!$P$4=L96,VLOOKUP(L96,Karakterlap!$P$3:$Z$4,10,FALSE),5)),IF(Karakterlap!$P$5="Váltott kaszt",IF(L96=Karakterlap!$P$3,(Karakterlap!$Y$3+3)*5,VLOOKUP(L96,Karakterlap!$P$3:$Z$4,10,FALSE)*5),IFERROR(VLOOKUP(L96,Karakterlap!$P$3:$Z$4,10,FALSE)*5,5)))</f>
        <v>5</v>
      </c>
      <c r="AI96" s="10">
        <v>0</v>
      </c>
      <c r="AJ96" s="10">
        <v>5</v>
      </c>
      <c r="AK96" s="10">
        <v>4</v>
      </c>
      <c r="AL96">
        <f>IFERROR(IF(VLOOKUP(L96,Karakterlap!$P$3:$Z$4,10,FALSE)&gt;4,(($E$18+1)*4)+($E$18+2),VLOOKUP(L96,Karakterlap!$P$3:$Z$4,10,FALSE)*($E$18+1)),$E$18+1)</f>
        <v>7</v>
      </c>
      <c r="AM96">
        <f>IFERROR(IF(VLOOKUP(L96,Karakterlap!$P$3:$Z$4,10,FALSE)&gt;4,24+((VLOOKUP(L96,Karakterlap!$P$3:$Z$4,10,FALSE)-4)*8),VLOOKUP(L96,Karakterlap!$P$3:$Z$4,10,FALSE)*6),0)</f>
        <v>0</v>
      </c>
      <c r="AN96" t="s">
        <v>109</v>
      </c>
      <c r="AO96" t="str">
        <f>IFERROR((IF(Karakterlap!$F$9&gt;10,Karakterlap!$F$9-10,0))+5+((VLOOKUP(L96,Karakterlap!$P$3:$Z$4,10,FALSE)-1)*4),"más kaszt")</f>
        <v>más kaszt</v>
      </c>
      <c r="BA96">
        <f>IFERROR(IF(Karakterlap!$P$6&gt;13,175501+((Karakterlap!$P$6-13)*58500),175501),175501)</f>
        <v>175501</v>
      </c>
      <c r="BB96" s="40">
        <f>VLOOKUP("2k6+6",$I$2:$J$11,2,FALSE)+IFERROR(VLOOKUP(Karakterlap!$V$7,$A$24:$C$33,3,FALSE),0)</f>
        <v>13</v>
      </c>
      <c r="BC96" s="40">
        <f>VLOOKUP("2k6+6",$I$2:$J$11,2,FALSE)+IFERROR(VLOOKUP(Karakterlap!$V$7,$A$24:$D$33,4,FALSE),0)</f>
        <v>13</v>
      </c>
      <c r="BD96" s="40">
        <f>VLOOKUP("3k6(2x)",$I$2:$J$11,2,FALSE)+IFERROR(VLOOKUP(Karakterlap!$V$7,$A$24:$E$33,5,FALSE),0)</f>
        <v>11</v>
      </c>
      <c r="BE96" s="40">
        <f>VLOOKUP("3k6(2x)",$I$2:$J$11,2,FALSE)+IFERROR(VLOOKUP(Karakterlap!$V$7,$A$24:$F$33,6,FALSE),0)</f>
        <v>11</v>
      </c>
      <c r="BF96" s="40">
        <f>VLOOKUP("2k6+6",$I$2:$J$11,2,FALSE)+IFERROR(VLOOKUP(Karakterlap!$V$7,$A$24:$G$33,7,FALSE),0)</f>
        <v>13</v>
      </c>
      <c r="BG96" s="40">
        <f>VLOOKUP("3k6",$I$2:$J$11,2,FALSE)+IFERROR(VLOOKUP(Karakterlap!$V$7,$A$24:$H$33,8,FALSE),0)</f>
        <v>10</v>
      </c>
      <c r="BH96" s="40">
        <f>VLOOKUP("2k6+6",$I$2:$J$11,2,FALSE)+IFERROR(VLOOKUP(Karakterlap!$V$7,$A$24:$I$33,9,FALSE),0)</f>
        <v>13</v>
      </c>
      <c r="BI96" s="40">
        <f t="shared" si="6"/>
        <v>13</v>
      </c>
      <c r="BJ96" s="40">
        <f>VLOOKUP("2k6+6",$I$2:$J$11,2,FALSE)+IFERROR(VLOOKUP(Karakterlap!$V$7,$A$24:$J$33,10,FALSE),0)</f>
        <v>13</v>
      </c>
      <c r="BK96" s="40">
        <f t="shared" si="7"/>
        <v>13</v>
      </c>
      <c r="BL96" s="40">
        <f>IF((SUM(Karakterlap!$F$3:$F$12)-SUM(BB96:BK96))&lt;0,0,SUM(Karakterlap!$F$3:$F$12)-SUM(BB96:BK96))</f>
        <v>0</v>
      </c>
      <c r="BM96" t="e">
        <f>IF(Karakterlap!$F$3&gt;18,IF((Karakterlap!$F$3-IF(BB96&gt;18,BB96,18))&gt;0,Karakterlap!$F$3-IF(BB96&gt;18,BB96,18),0),0)+IF(Karakterlap!$F$4&gt;18,IF((Karakterlap!$F$4-IF(BC96&gt;18,BC96,18))&gt;0,Karakterlap!$F$4-IF(BC96&gt;18,BC96,18),0),0)+IF(Karakterlap!$F$5&gt;18,IF((Karakterlap!$F$5-IF(BD96&gt;18,BD96,18))&gt;0,Karakterlap!$F$5-IF(BD96&gt;18,BD96,18),0),0)+IF(Karakterlap!$F$6&gt;18,IF((Karakterlap!$F$6-IF(BE96&gt;18,BE96,18))&gt;0,Karakterlap!$F$6-IF(BE96&gt;18,BE96,18),0),0)+IF(Karakterlap!$F$7&gt;18,IF((Karakterlap!$F$7-IF(BF96&gt;18,BF96,18))&gt;0,Karakterlap!$F$7-IF(BF96&gt;18,BF96,18),0),0)+IF(Karakterlap!$F$8&gt;18,IF((Karakterlap!$F$8-IF(BG96&gt;18,BG96,18))&gt;0,Karakterlap!$F$8-IF(BG96&gt;18,BG96,18),0),0)+IF(Karakterlap!$F$9&gt;18,IF((Karakterlap!$F$9-IF(BH96&gt;18,BH96,18))&gt;0,Karakterlap!$F$9-IF(BH96&gt;18,BH96,18),0),0)+IF(Karakterlap!$F$10&gt;18,IF((Karakterlap!$F$10-IF(BI96&gt;18,BI96,18))&gt;0,Karakterlap!$F$10-IF(BI96&gt;18,BI96,18),0),0)+IF(Karakterlap!$F$11&gt;18,IF((Karakterlap!$F$11-IF(BJ96&gt;18,BJ96,18))&gt;0,Karakterlap!$F$11-IF(BJ96&gt;18,BJ96,18),0),0)+IF(Karakterlap!$F$12&gt;18,IF((Karakterlap!$F$12-IF(BK96&gt;18,BK96,18))&gt;0,Karakterlap!$F$12-IF(BK96&gt;18,BK96,18),0),0)</f>
        <v>#VALUE!</v>
      </c>
    </row>
    <row r="97" spans="12:65" x14ac:dyDescent="0.25">
      <c r="L97" t="s">
        <v>234</v>
      </c>
      <c r="M97">
        <v>0</v>
      </c>
      <c r="N97">
        <v>176</v>
      </c>
      <c r="O97">
        <v>353</v>
      </c>
      <c r="P97">
        <v>721</v>
      </c>
      <c r="Q97">
        <v>1501</v>
      </c>
      <c r="R97">
        <v>3501</v>
      </c>
      <c r="S97">
        <v>7001</v>
      </c>
      <c r="T97">
        <v>10501</v>
      </c>
      <c r="U97">
        <v>21001</v>
      </c>
      <c r="V97">
        <v>48001</v>
      </c>
      <c r="W97">
        <v>78001</v>
      </c>
      <c r="X97">
        <v>108001</v>
      </c>
      <c r="Y97">
        <f>IFERROR(IF(VLOOKUP(L97,Karakterlap!$P$3:$Z$4,10,FALSE)&gt;13,138001+((VLOOKUP(L97,Karakterlap!$P$3:$Z$4,10,FALSE)-13)*38000),138001),138001)</f>
        <v>138001</v>
      </c>
      <c r="Z97" s="10">
        <v>5</v>
      </c>
      <c r="AA97" s="10">
        <v>20</v>
      </c>
      <c r="AB97" s="10">
        <v>75</v>
      </c>
      <c r="AC97" s="10">
        <v>0</v>
      </c>
      <c r="AD97" s="10">
        <f>IFERROR(VLOOKUP(L97,Karakterlap!$P$3:$Z$4,10,FALSE)*10,10)</f>
        <v>10</v>
      </c>
      <c r="AE97" s="10">
        <f>IFERROR(IF(Karakterlap!$P$5="Váltott kaszt",IF(Karakterlap!$P$3=Adattábla!$L97,Karakterlap!$Y$3*4,IF(Karakterlap!$P$4=Adattábla!$L97,(Karakterlap!$Y$4-Adattábla!$I$20)*4,4)),VLOOKUP(Adattábla!$L97,Karakterlap!$P$3:$Z$4,10,FALSE)*4),4)</f>
        <v>4</v>
      </c>
      <c r="AF97" s="10">
        <f>IFERROR(IF(Karakterlap!$P$5="Váltott kaszt",IF(Karakterlap!$P$3=Adattábla!$L97,Karakterlap!$Y$3*4,IF(Karakterlap!$P$4=Adattábla!$L97,(Karakterlap!$Y$4-Adattábla!$I$20)*4,4)),VLOOKUP(Adattábla!$L97,Karakterlap!$P$3:$Z$4,10,FALSE)*4),4)</f>
        <v>4</v>
      </c>
      <c r="AG97" s="10">
        <v>1</v>
      </c>
      <c r="AH97" s="10">
        <f>IF(Karakterlap!$P$5="Iker kaszt",IF(Karakterlap!$P$3=L97,IFERROR((Karakterlap!$P$6*3)+(VLOOKUP(L97,Karakterlap!$P$3:$Z$4,10,FALSE)-Karakterlap!$P$6),3),IF(Karakterlap!$P$4=L97,VLOOKUP(L97,Karakterlap!$P$3:$Z$4,10,FALSE),3)),IF(Karakterlap!$P$5="Váltott kaszt",IF(L97=Karakterlap!$P$3,(Karakterlap!$Y$3+3)*3,VLOOKUP(L97,Karakterlap!$P$3:$Z$4,10,FALSE)*3),IFERROR(VLOOKUP(L97,Karakterlap!$P$3:$Z$4,10,FALSE)*3,3)))</f>
        <v>3</v>
      </c>
      <c r="AI97" s="10">
        <f>IFERROR(IF(Karakterlap!$P$5="Váltott kaszt",IF(L97=Karakterlap!$P$3,Karakterlap!$P$6*15,VLOOKUP(L97,Karakterlap!$P$3:$Z$4,10,FALSE)*15),VLOOKUP(L97,Karakterlap!$P$3:$Z$4,10,FALSE)*15),15)</f>
        <v>15</v>
      </c>
      <c r="AJ97" s="10">
        <v>6</v>
      </c>
      <c r="AK97" s="10">
        <v>6</v>
      </c>
      <c r="AL97">
        <f>IFERROR(VLOOKUP(L97,Karakterlap!$P$3:$Z$4,10,FALSE)*($E$18+4),$E$18+4)</f>
        <v>10</v>
      </c>
      <c r="AM97">
        <f>IFERROR(VLOOKUP(L97,Karakterlap!$P$3:$Z$4,10,FALSE)*(6),0)</f>
        <v>0</v>
      </c>
      <c r="AN97" t="s">
        <v>109</v>
      </c>
      <c r="AO97" t="str">
        <f>IFERROR((IF(Karakterlap!$F$9&gt;10,Karakterlap!$F$9-10,0))+5+((VLOOKUP(L97,Karakterlap!$P$3:$Z$4,10,FALSE)-1)*4),"más kaszt")</f>
        <v>más kaszt</v>
      </c>
      <c r="AQ97" s="17">
        <v>20</v>
      </c>
      <c r="AR97" s="17">
        <v>25</v>
      </c>
      <c r="AS97" s="17">
        <v>15</v>
      </c>
      <c r="BA97">
        <f>IFERROR(IF(Karakterlap!$P$6&gt;13,138001+((Karakterlap!$P$6-13)*38000),138001),138001)</f>
        <v>138001</v>
      </c>
      <c r="BB97" s="40">
        <f>VLOOKUP("k10+8",$I$2:$J$11,2,FALSE)+IFERROR(VLOOKUP(Karakterlap!$V$7,$A$24:$C$33,3,FALSE),0)</f>
        <v>14</v>
      </c>
      <c r="BC97" s="40">
        <f>VLOOKUP("k10+8",$I$2:$J$11,2,FALSE)+IFERROR(VLOOKUP(Karakterlap!$V$7,$A$24:$D$33,4,FALSE),0)</f>
        <v>14</v>
      </c>
      <c r="BD97" s="40">
        <f>VLOOKUP("3k6(2x)",$I$2:$J$11,2,FALSE)+IFERROR(VLOOKUP(Karakterlap!$V$7,$A$24:$E$33,5,FALSE),0)</f>
        <v>11</v>
      </c>
      <c r="BE97" s="40">
        <f>VLOOKUP("3k6(2x)",$I$2:$J$11,2,FALSE)+IFERROR(VLOOKUP(Karakterlap!$V$7,$A$24:$F$33,6,FALSE),0)</f>
        <v>11</v>
      </c>
      <c r="BF97" s="40">
        <f>VLOOKUP("k10+10",$I$2:$J$11,2,FALSE)+IFERROR(VLOOKUP(Karakterlap!$V$7,$A$24:$G$33,7,FALSE),0)</f>
        <v>16</v>
      </c>
      <c r="BG97" s="40">
        <f>VLOOKUP("k10+8",$I$2:$J$11,2,FALSE)+IFERROR(VLOOKUP(Karakterlap!$V$7,$A$24:$H$33,8,FALSE),0)</f>
        <v>14</v>
      </c>
      <c r="BH97" s="40">
        <f>VLOOKUP("2k6+6",$I$2:$J$11,2,FALSE)+IFERROR(VLOOKUP(Karakterlap!$V$7,$A$24:$I$33,9,FALSE),0)</f>
        <v>13</v>
      </c>
      <c r="BI97" s="40">
        <f t="shared" ref="BI97" si="8">VLOOKUP("k10+8",$I$2:$J$11,2,FALSE)</f>
        <v>14</v>
      </c>
      <c r="BJ97" s="40">
        <f>VLOOKUP("k6+12",$I$2:$J$11,2,FALSE)+IFERROR(VLOOKUP(Karakterlap!$V$7,$A$24:$J$33,10,FALSE),0)</f>
        <v>16</v>
      </c>
      <c r="BK97" s="40">
        <f t="shared" ref="BK97" si="9">VLOOKUP("k10+8",$I$2:$J$11,2,FALSE)</f>
        <v>14</v>
      </c>
      <c r="BL97" s="40">
        <f>IF((SUM(Karakterlap!$F$3:$F$12)-SUM(BB97:BK97))&lt;0,0,SUM(Karakterlap!$F$3:$F$12)-SUM(BB97:BK97))</f>
        <v>0</v>
      </c>
      <c r="BM97" t="e">
        <f>IF(Karakterlap!$F$3&gt;18,IF((Karakterlap!$F$3-IF(BB97&gt;18,BB97,18))&gt;0,Karakterlap!$F$3-IF(BB97&gt;18,BB97,18),0),0)+IF(Karakterlap!$F$4&gt;18,IF((Karakterlap!$F$4-IF(BC97&gt;18,BC97,18))&gt;0,Karakterlap!$F$4-IF(BC97&gt;18,BC97,18),0),0)+IF(Karakterlap!$F$5&gt;18,IF((Karakterlap!$F$5-IF(BD97&gt;18,BD97,18))&gt;0,Karakterlap!$F$5-IF(BD97&gt;18,BD97,18),0),0)+IF(Karakterlap!$F$6&gt;18,IF((Karakterlap!$F$6-IF(BE97&gt;18,BE97,18))&gt;0,Karakterlap!$F$6-IF(BE97&gt;18,BE97,18),0),0)+IF(Karakterlap!$F$7&gt;18,IF((Karakterlap!$F$7-IF(BF97&gt;18,BF97,18))&gt;0,Karakterlap!$F$7-IF(BF97&gt;18,BF97,18),0),0)+IF(Karakterlap!$F$8&gt;18,IF((Karakterlap!$F$8-IF(BG97&gt;18,BG97,18))&gt;0,Karakterlap!$F$8-IF(BG97&gt;18,BG97,18),0),0)+IF(Karakterlap!$F$9&gt;18,IF((Karakterlap!$F$9-IF(BH97&gt;18,BH97,18))&gt;0,Karakterlap!$F$9-IF(BH97&gt;18,BH97,18),0),0)+IF(Karakterlap!$F$10&gt;18,IF((Karakterlap!$F$10-IF(BI97&gt;18,BI97,18))&gt;0,Karakterlap!$F$10-IF(BI97&gt;18,BI97,18),0),0)+IF(Karakterlap!$F$11&gt;18,IF((Karakterlap!$F$11-IF(BJ97&gt;18,BJ97,18))&gt;0,Karakterlap!$F$11-IF(BJ97&gt;18,BJ97,18),0),0)+IF(Karakterlap!$F$12&gt;18,IF((Karakterlap!$F$12-IF(BK97&gt;18,BK97,18))&gt;0,Karakterlap!$F$12-IF(BK97&gt;18,BK97,18),0),0)</f>
        <v>#VALUE!</v>
      </c>
    </row>
    <row r="98" spans="12:65" x14ac:dyDescent="0.25">
      <c r="L98" t="s">
        <v>236</v>
      </c>
      <c r="M98">
        <v>0</v>
      </c>
      <c r="N98">
        <v>171</v>
      </c>
      <c r="O98">
        <v>351</v>
      </c>
      <c r="P98">
        <v>701</v>
      </c>
      <c r="Q98">
        <v>1501</v>
      </c>
      <c r="R98">
        <v>3001</v>
      </c>
      <c r="S98">
        <v>7001</v>
      </c>
      <c r="T98">
        <v>12001</v>
      </c>
      <c r="U98">
        <v>22001</v>
      </c>
      <c r="V98">
        <v>52501</v>
      </c>
      <c r="W98">
        <v>85501</v>
      </c>
      <c r="X98">
        <v>135001</v>
      </c>
      <c r="Y98">
        <f>IFERROR(IF(VLOOKUP(L98,Karakterlap!$P$3:$Z$4,10,FALSE)&gt;13,175501+((VLOOKUP(L98,Karakterlap!$P$3:$Z$4,10,FALSE)-13)*58500),175501),175501)</f>
        <v>175501</v>
      </c>
      <c r="Z98" s="10">
        <v>6</v>
      </c>
      <c r="AA98" s="10">
        <v>17</v>
      </c>
      <c r="AB98" s="10">
        <v>72</v>
      </c>
      <c r="AC98" s="10">
        <v>0</v>
      </c>
      <c r="AD98" s="10">
        <f>IFERROR(VLOOKUP(L98,Karakterlap!$P$3:$Z$4,10,FALSE)*8,8)</f>
        <v>8</v>
      </c>
      <c r="AE98" s="10">
        <f>IFERROR(IF(Karakterlap!$P$5="Váltott kaszt",IF(Karakterlap!$P$3=Adattábla!$L98,Karakterlap!$Y$3*3,IF(Karakterlap!$P$4=Adattábla!$L98,(Karakterlap!$Y$4-Adattábla!$I$20)*3,3)),VLOOKUP(Adattábla!$L98,Karakterlap!$P$3:$Z$4,10,FALSE)*3),3)</f>
        <v>3</v>
      </c>
      <c r="AF98" s="10">
        <f>IFERROR(IF(Karakterlap!$P$5="Váltott kaszt",IF(Karakterlap!$P$3=Adattábla!$L98,Karakterlap!$Y$3*3,IF(Karakterlap!$P$4=Adattábla!$L98,(Karakterlap!$Y$4-Adattábla!$I$20)*3,3)),VLOOKUP(Adattábla!$L98,Karakterlap!$P$3:$Z$4,10,FALSE)*3),3)</f>
        <v>3</v>
      </c>
      <c r="AG98" s="10">
        <v>6</v>
      </c>
      <c r="AH98" s="10">
        <f>IF(Karakterlap!$P$5="Iker kaszt",IF(Karakterlap!$P$3=L98,IFERROR((Karakterlap!$P$6*10)+(VLOOKUP(L98,Karakterlap!$P$3:$Z$4,10,FALSE)-Karakterlap!$P$6),10),IF(Karakterlap!$P$4=L98,VLOOKUP(L98,Karakterlap!$P$3:$Z$4,10,FALSE),10)),IF(Karakterlap!$P$5="Váltott kaszt",IF(L98=Karakterlap!$P$3,(Karakterlap!$Y$3+3)*10,VLOOKUP(L98,Karakterlap!$P$3:$Z$4,10,FALSE)*10),IFERROR(VLOOKUP(L98,Karakterlap!$P$3:$Z$4,10,FALSE)*10,10)))</f>
        <v>10</v>
      </c>
      <c r="AI98" s="10">
        <v>0</v>
      </c>
      <c r="AJ98" s="10">
        <v>5</v>
      </c>
      <c r="AK98" s="10">
        <v>4</v>
      </c>
      <c r="AL98">
        <f>IFERROR(VLOOKUP(L98,Karakterlap!$P$3:$Z$4,10,FALSE)*($E$18+1),$E$18+1)</f>
        <v>7</v>
      </c>
      <c r="AM98">
        <f>IFERROR(IF(VLOOKUP(L98,Karakterlap!$P$3:$Z$4,10,FALSE)&gt;1,9+((VLOOKUP(L98,Karakterlap!$P$3:$Z$4,10,FALSE)-1)*(($E$18)+3)),9),9)</f>
        <v>9</v>
      </c>
      <c r="AN98" t="s">
        <v>109</v>
      </c>
      <c r="AO98" t="str">
        <f>IFERROR((IF(Karakterlap!$F$9&gt;10,Karakterlap!$F$9-10,0))+5+((VLOOKUP(L98,Karakterlap!$P$3:$Z$4,10,FALSE)-1)*4),"más kaszt")</f>
        <v>más kaszt</v>
      </c>
      <c r="BA98">
        <f>IFERROR(IF(Karakterlap!$P$6&gt;13,175501+((Karakterlap!$P$6-13)*58500),175501),175501)</f>
        <v>175501</v>
      </c>
      <c r="BB98" s="40">
        <f>VLOOKUP("2k6+6",$I$2:$J$11,2,FALSE)+IFERROR(VLOOKUP(Karakterlap!$V$7,$A$24:$C$33,3,FALSE),0)</f>
        <v>13</v>
      </c>
      <c r="BC98" s="40">
        <f>VLOOKUP("2k6+6",$I$2:$J$11,2,FALSE)+IFERROR(VLOOKUP(Karakterlap!$V$7,$A$24:$D$33,4,FALSE),0)</f>
        <v>13</v>
      </c>
      <c r="BD98" s="40">
        <f>VLOOKUP("3k6(2x)",$I$2:$J$11,2,FALSE)+IFERROR(VLOOKUP(Karakterlap!$V$7,$A$24:$E$33,5,FALSE),0)</f>
        <v>11</v>
      </c>
      <c r="BE98" s="40">
        <f>VLOOKUP("3k6(2x)",$I$2:$J$11,2,FALSE)+IFERROR(VLOOKUP(Karakterlap!$V$7,$A$24:$F$33,6,FALSE),0)</f>
        <v>11</v>
      </c>
      <c r="BF98" s="40">
        <f>VLOOKUP("2k6+6",$I$2:$J$11,2,FALSE)+IFERROR(VLOOKUP(Karakterlap!$V$7,$A$24:$G$33,7,FALSE),0)</f>
        <v>13</v>
      </c>
      <c r="BG98" s="40">
        <f>VLOOKUP("3k6",$I$2:$J$11,2,FALSE)+IFERROR(VLOOKUP(Karakterlap!$V$7,$A$24:$H$33,8,FALSE),0)</f>
        <v>10</v>
      </c>
      <c r="BH98" s="40">
        <f>VLOOKUP("2k6+6",$I$2:$J$11,2,FALSE)+IFERROR(VLOOKUP(Karakterlap!$V$7,$A$24:$I$33,9,FALSE),0)</f>
        <v>13</v>
      </c>
      <c r="BI98" s="40">
        <f t="shared" si="6"/>
        <v>13</v>
      </c>
      <c r="BJ98" s="40">
        <f>VLOOKUP("2k6+6",$I$2:$J$11,2,FALSE)+IFERROR(VLOOKUP(Karakterlap!$V$7,$A$24:$J$33,10,FALSE),0)</f>
        <v>13</v>
      </c>
      <c r="BK98" s="40">
        <f t="shared" si="7"/>
        <v>13</v>
      </c>
      <c r="BL98" s="40">
        <f>IF((SUM(Karakterlap!$F$3:$F$12)-SUM(BB98:BK98))&lt;0,0,SUM(Karakterlap!$F$3:$F$12)-SUM(BB98:BK98))</f>
        <v>0</v>
      </c>
      <c r="BM98" t="e">
        <f>IF(Karakterlap!$F$3&gt;18,IF((Karakterlap!$F$3-IF(BB98&gt;18,BB98,18))&gt;0,Karakterlap!$F$3-IF(BB98&gt;18,BB98,18),0),0)+IF(Karakterlap!$F$4&gt;18,IF((Karakterlap!$F$4-IF(BC98&gt;18,BC98,18))&gt;0,Karakterlap!$F$4-IF(BC98&gt;18,BC98,18),0),0)+IF(Karakterlap!$F$5&gt;18,IF((Karakterlap!$F$5-IF(BD98&gt;18,BD98,18))&gt;0,Karakterlap!$F$5-IF(BD98&gt;18,BD98,18),0),0)+IF(Karakterlap!$F$6&gt;18,IF((Karakterlap!$F$6-IF(BE98&gt;18,BE98,18))&gt;0,Karakterlap!$F$6-IF(BE98&gt;18,BE98,18),0),0)+IF(Karakterlap!$F$7&gt;18,IF((Karakterlap!$F$7-IF(BF98&gt;18,BF98,18))&gt;0,Karakterlap!$F$7-IF(BF98&gt;18,BF98,18),0),0)+IF(Karakterlap!$F$8&gt;18,IF((Karakterlap!$F$8-IF(BG98&gt;18,BG98,18))&gt;0,Karakterlap!$F$8-IF(BG98&gt;18,BG98,18),0),0)+IF(Karakterlap!$F$9&gt;18,IF((Karakterlap!$F$9-IF(BH98&gt;18,BH98,18))&gt;0,Karakterlap!$F$9-IF(BH98&gt;18,BH98,18),0),0)+IF(Karakterlap!$F$10&gt;18,IF((Karakterlap!$F$10-IF(BI98&gt;18,BI98,18))&gt;0,Karakterlap!$F$10-IF(BI98&gt;18,BI98,18),0),0)+IF(Karakterlap!$F$11&gt;18,IF((Karakterlap!$F$11-IF(BJ98&gt;18,BJ98,18))&gt;0,Karakterlap!$F$11-IF(BJ98&gt;18,BJ98,18),0),0)+IF(Karakterlap!$F$12&gt;18,IF((Karakterlap!$F$12-IF(BK98&gt;18,BK98,18))&gt;0,Karakterlap!$F$12-IF(BK98&gt;18,BK98,18),0),0)</f>
        <v>#VALUE!</v>
      </c>
    </row>
    <row r="99" spans="12:65" x14ac:dyDescent="0.25">
      <c r="L99" t="s">
        <v>66</v>
      </c>
      <c r="M99">
        <v>0</v>
      </c>
      <c r="N99">
        <v>231</v>
      </c>
      <c r="O99">
        <v>501</v>
      </c>
      <c r="P99">
        <v>1001</v>
      </c>
      <c r="Q99">
        <v>2201</v>
      </c>
      <c r="R99">
        <v>5001</v>
      </c>
      <c r="S99">
        <v>10001</v>
      </c>
      <c r="T99">
        <v>18001</v>
      </c>
      <c r="U99">
        <v>35001</v>
      </c>
      <c r="V99">
        <v>70001</v>
      </c>
      <c r="W99">
        <v>150001</v>
      </c>
      <c r="X99">
        <v>200001</v>
      </c>
      <c r="Y99">
        <f>IFERROR(IF(VLOOKUP(L99,Karakterlap!$P$3:$Z$4,10,FALSE)&gt;13,300001+((VLOOKUP(L99,Karakterlap!$P$3:$Z$4,10,FALSE)-13)*80000),300001),300001)</f>
        <v>300001</v>
      </c>
      <c r="Z99" s="10">
        <v>2</v>
      </c>
      <c r="AA99" s="10">
        <v>15</v>
      </c>
      <c r="AB99" s="10">
        <v>70</v>
      </c>
      <c r="AC99" s="10">
        <v>0</v>
      </c>
      <c r="AD99" s="10">
        <f>IFERROR(VLOOKUP(L99,Karakterlap!$P$3:$Z$4,10,FALSE)*4,4)</f>
        <v>4</v>
      </c>
      <c r="AE99" s="10">
        <f>IFERROR(IF(Karakterlap!$P$5="Váltott kaszt",IF(Karakterlap!$P$3=Adattábla!$L99,Karakterlap!$Y$3*5,IF(Karakterlap!$P$4=Adattábla!$L99,(Karakterlap!$Y$4-Adattábla!$I$20)*1,1)),VLOOKUP(Adattábla!$L99,Karakterlap!$P$3:$Z$4,10,FALSE)*1),1)</f>
        <v>1</v>
      </c>
      <c r="AF99" s="10">
        <f>IFERROR(IF(Karakterlap!$P$5="Váltott kaszt",IF(Karakterlap!$P$3=Adattábla!$L99,Karakterlap!$Y$3*5,IF(Karakterlap!$P$4=Adattábla!$L99,(Karakterlap!$Y$4-Adattábla!$I$20)*1,1)),VLOOKUP(Adattábla!$L99,Karakterlap!$P$3:$Z$4,10,FALSE)*1),1)</f>
        <v>1</v>
      </c>
      <c r="AG99" s="10">
        <v>7</v>
      </c>
      <c r="AH99" s="10">
        <f>IF(Karakterlap!$P$5="Iker kaszt",IF(Karakterlap!$P$3=L99,IFERROR((Karakterlap!$P$6*7)+(VLOOKUP(L99,Karakterlap!$P$3:$Z$4,10,FALSE)-Karakterlap!$P$6),7),IF(Karakterlap!$P$4=L99,VLOOKUP(L99,Karakterlap!$P$3:$Z$4,10,FALSE),7)),IF(Karakterlap!$P$5="Váltott kaszt",IF(L99=Karakterlap!$P$3,(Karakterlap!$Y$3+3)*7,VLOOKUP(L99,Karakterlap!$P$3:$Z$4,10,FALSE)*7),IFERROR(VLOOKUP(L99,Karakterlap!$P$3:$Z$4,10,FALSE)*7,7)))</f>
        <v>7</v>
      </c>
      <c r="AI99" s="10">
        <v>0</v>
      </c>
      <c r="AJ99" s="10">
        <v>3</v>
      </c>
      <c r="AK99" s="10">
        <v>2</v>
      </c>
      <c r="AL99">
        <f>IFERROR(VLOOKUP(L99,Karakterlap!$P$3:$Z$4,10,FALSE)*($E$18),$E$18)</f>
        <v>6</v>
      </c>
      <c r="AM99">
        <f>IFERROR(VLOOKUP(L99,Karakterlap!$P$3:$Z$4,10,FALSE)*10,0)</f>
        <v>0</v>
      </c>
      <c r="AN99" t="s">
        <v>160</v>
      </c>
      <c r="AO99" t="str">
        <f>IFERROR((IF(Karakterlap!$F$9&gt;10,Karakterlap!$F$9-10,0))+7+((VLOOKUP(L99,Karakterlap!$P$3:$Z$4,10,FALSE)-1)*6),"más kaszt")</f>
        <v>más kaszt</v>
      </c>
      <c r="BA99">
        <f>IFERROR(IF(Karakterlap!$P$6&gt;13,300001+((Karakterlap!$P$6-13)*80000),300001),300001)</f>
        <v>300001</v>
      </c>
      <c r="BB99" s="40">
        <f>VLOOKUP("3k6",$I$2:$J$11,2,FALSE)+IFERROR(VLOOKUP(Karakterlap!$V$7,$A$24:$C$33,3,FALSE),0)</f>
        <v>10</v>
      </c>
      <c r="BC99" s="40">
        <f>VLOOKUP("3k6",$I$2:$J$11,2,FALSE)+IFERROR(VLOOKUP(Karakterlap!$V$7,$A$24:$D$33,4,FALSE),0)</f>
        <v>10</v>
      </c>
      <c r="BD99" s="40">
        <f>VLOOKUP("3k6(2x)",$I$2:$J$11,2,FALSE)+IFERROR(VLOOKUP(Karakterlap!$V$7,$A$24:$E$33,5,FALSE),0)</f>
        <v>11</v>
      </c>
      <c r="BE99" s="40">
        <f>VLOOKUP("3k6(2x)",$I$2:$J$11,2,FALSE)+IFERROR(VLOOKUP(Karakterlap!$V$7,$A$24:$F$33,6,FALSE),0)</f>
        <v>11</v>
      </c>
      <c r="BF99" s="40">
        <f>VLOOKUP("3k6(2x)",$I$2:$J$11,2,FALSE)+IFERROR(VLOOKUP(Karakterlap!$V$7,$A$24:$G$33,7,FALSE),0)</f>
        <v>11</v>
      </c>
      <c r="BG99" s="40">
        <f>VLOOKUP("3k6",$I$2:$J$11,2,FALSE)+IFERROR(VLOOKUP(Karakterlap!$V$7,$A$24:$H$33,8,FALSE),0)</f>
        <v>10</v>
      </c>
      <c r="BH99" s="40">
        <f>VLOOKUP("k6+12",$I$2:$J$11,2,FALSE)+IFERROR(VLOOKUP(Karakterlap!$V$7,$A$24:$I$33,9,FALSE),0)</f>
        <v>16</v>
      </c>
      <c r="BI99" s="40">
        <f>VLOOKUP("k6+12",$I$2:$J$11,2,FALSE)</f>
        <v>16</v>
      </c>
      <c r="BJ99" s="40">
        <f>VLOOKUP("k6+12",$I$2:$J$11,2,FALSE)+IFERROR(VLOOKUP(Karakterlap!$V$7,$A$24:$J$33,10,FALSE),0)</f>
        <v>16</v>
      </c>
      <c r="BK99" s="40">
        <f>VLOOKUP("2k6+6",$I$2:$J$11,2,FALSE)</f>
        <v>13</v>
      </c>
      <c r="BL99" s="40">
        <f>IF((SUM(Karakterlap!$F$3:$F$12)-SUM(BB99:BK99))&lt;0,0,SUM(Karakterlap!$F$3:$F$12)-SUM(BB99:BK99))</f>
        <v>0</v>
      </c>
      <c r="BM99" t="e">
        <f>IF(Karakterlap!$F$3&gt;18,IF((Karakterlap!$F$3-IF(BB99&gt;18,BB99,18))&gt;0,Karakterlap!$F$3-IF(BB99&gt;18,BB99,18),0),0)+IF(Karakterlap!$F$4&gt;18,IF((Karakterlap!$F$4-IF(BC99&gt;18,BC99,18))&gt;0,Karakterlap!$F$4-IF(BC99&gt;18,BC99,18),0),0)+IF(Karakterlap!$F$5&gt;18,IF((Karakterlap!$F$5-IF(BD99&gt;18,BD99,18))&gt;0,Karakterlap!$F$5-IF(BD99&gt;18,BD99,18),0),0)+IF(Karakterlap!$F$6&gt;18,IF((Karakterlap!$F$6-IF(BE99&gt;18,BE99,18))&gt;0,Karakterlap!$F$6-IF(BE99&gt;18,BE99,18),0),0)+IF(Karakterlap!$F$7&gt;18,IF((Karakterlap!$F$7-IF(BF99&gt;18,BF99,18))&gt;0,Karakterlap!$F$7-IF(BF99&gt;18,BF99,18),0),0)+IF(Karakterlap!$F$8&gt;18,IF((Karakterlap!$F$8-IF(BG99&gt;18,BG99,18))&gt;0,Karakterlap!$F$8-IF(BG99&gt;18,BG99,18),0),0)+IF(Karakterlap!$F$9&gt;18,IF((Karakterlap!$F$9-IF(BH99&gt;18,BH99,18))&gt;0,Karakterlap!$F$9-IF(BH99&gt;18,BH99,18),0),0)+IF(Karakterlap!$F$10&gt;18,IF((Karakterlap!$F$10-IF(BI99&gt;18,BI99,18))&gt;0,Karakterlap!$F$10-IF(BI99&gt;18,BI99,18),0),0)+IF(Karakterlap!$F$11&gt;18,IF((Karakterlap!$F$11-IF(BJ99&gt;18,BJ99,18))&gt;0,Karakterlap!$F$11-IF(BJ99&gt;18,BJ99,18),0),0)+IF(Karakterlap!$F$12&gt;18,IF((Karakterlap!$F$12-IF(BK99&gt;18,BK99,18))&gt;0,Karakterlap!$F$12-IF(BK99&gt;18,BK99,18),0),0)</f>
        <v>#VALUE!</v>
      </c>
    </row>
    <row r="100" spans="12:65" x14ac:dyDescent="0.25">
      <c r="L100" t="s">
        <v>71</v>
      </c>
      <c r="M100">
        <v>0</v>
      </c>
      <c r="N100">
        <v>166</v>
      </c>
      <c r="O100">
        <v>341</v>
      </c>
      <c r="P100">
        <v>691</v>
      </c>
      <c r="Q100">
        <v>1451</v>
      </c>
      <c r="R100">
        <v>3501</v>
      </c>
      <c r="S100">
        <v>7651</v>
      </c>
      <c r="T100">
        <v>13801</v>
      </c>
      <c r="U100">
        <v>27001</v>
      </c>
      <c r="V100">
        <v>50001</v>
      </c>
      <c r="W100">
        <v>97501</v>
      </c>
      <c r="X100">
        <v>147001</v>
      </c>
      <c r="Y100">
        <f>IFERROR(IF(VLOOKUP(L100,Karakterlap!$P$3:$Z$4,10,FALSE)&gt;13,192001+((VLOOKUP(L100,Karakterlap!$P$3:$Z$4,10,FALSE)-13)*55000),192001),192001)</f>
        <v>192001</v>
      </c>
      <c r="Z100">
        <v>4</v>
      </c>
      <c r="AA100">
        <v>15</v>
      </c>
      <c r="AB100">
        <v>70</v>
      </c>
      <c r="AC100">
        <v>0</v>
      </c>
      <c r="AD100">
        <f>IFERROR(VLOOKUP(L100,Karakterlap!$P$3:$Z$4,10,FALSE)*5,5)</f>
        <v>5</v>
      </c>
      <c r="AE100">
        <f>IFERROR(IF(Karakterlap!$P$5="Váltott kaszt",IF(Karakterlap!$P$3=Adattábla!$L100,Karakterlap!$Y$3*5,IF(Karakterlap!$P$4=Adattábla!$L100,(Karakterlap!$Y$4-Adattábla!$I$20)*1,1)),VLOOKUP(Adattábla!$L100,Karakterlap!$P$3:$Z$4,10,FALSE)*1),1)</f>
        <v>1</v>
      </c>
      <c r="AF100">
        <f>IFERROR(IF(Karakterlap!$P$5="Váltott kaszt",IF(Karakterlap!$P$3=Adattábla!$L100,Karakterlap!$Y$3*5,IF(Karakterlap!$P$4=Adattábla!$L100,(Karakterlap!$Y$4-Adattábla!$I$20)*1,1)),VLOOKUP(Adattábla!$L100,Karakterlap!$P$3:$Z$4,10,FALSE)*1),1)</f>
        <v>1</v>
      </c>
      <c r="AG100">
        <v>3</v>
      </c>
      <c r="AH100">
        <f>IF(Karakterlap!$P$5="Iker kaszt",IF(Karakterlap!$P$3=L100,IFERROR((Karakterlap!$P$6*4)+(VLOOKUP(L100,Karakterlap!$P$3:$Z$4,10,FALSE)-Karakterlap!$P$6),4),IF(Karakterlap!$P$4=L100,VLOOKUP(L100,Karakterlap!$P$3:$Z$4,10,FALSE),4)),IF(Karakterlap!$P$5="Váltott kaszt",IF(L100=Karakterlap!$P$3,(Karakterlap!$Y$3+3)*4,VLOOKUP(L100,Karakterlap!$P$3:$Z$4,10,FALSE)*4),IFERROR(VLOOKUP(L100,Karakterlap!$P$3:$Z$4,10,FALSE)*4,4)))</f>
        <v>4</v>
      </c>
      <c r="AI100" s="10">
        <v>0</v>
      </c>
      <c r="AJ100">
        <v>4</v>
      </c>
      <c r="AK100">
        <v>6</v>
      </c>
      <c r="AL100">
        <f>IFERROR(VLOOKUP(L100,Karakterlap!$P$3:$Z$4,10,FALSE)*($E$18+2),$E$18+2)</f>
        <v>8</v>
      </c>
      <c r="AM100">
        <f>IFERROR(IF(VLOOKUP(L100,Karakterlap!$P$3:$Z$4,10,FALSE)&gt;1,7+((VLOOKUP(L100,Karakterlap!$P$3:$Z$4,10,FALSE)-1)*(Karakterlap!$F$10-10)),7),7)</f>
        <v>7</v>
      </c>
      <c r="AN100" t="s">
        <v>230</v>
      </c>
      <c r="BA100">
        <f>IFERROR(IF(Karakterlap!$P$6&gt;13,192001+((Karakterlap!$P$6-13)*55000),192001),192001)</f>
        <v>192001</v>
      </c>
      <c r="BB100" s="40">
        <f>VLOOKUP("3k6(2X)",$I$2:$J$11,2,FALSE)+IFERROR(VLOOKUP(Karakterlap!$V$7,$A$24:$C$33,3,FALSE),0)</f>
        <v>11</v>
      </c>
      <c r="BC100" s="40">
        <f>VLOOKUP("2k6+6",$I$2:$J$11,2,FALSE)+IFERROR(VLOOKUP(Karakterlap!$V$7,$A$24:$D$33,4,FALSE),0)</f>
        <v>13</v>
      </c>
      <c r="BD100" s="40">
        <f>VLOOKUP("3k6(2x)",$I$2:$J$11,2,FALSE)+IFERROR(VLOOKUP(Karakterlap!$V$7,$A$24:$E$33,5,FALSE),0)</f>
        <v>11</v>
      </c>
      <c r="BE100" s="40">
        <f>VLOOKUP("3k6(2x)",$I$2:$J$11,2,FALSE)+IFERROR(VLOOKUP(Karakterlap!$V$7,$A$24:$E$33,5,FALSE),0)</f>
        <v>11</v>
      </c>
      <c r="BF100" s="40">
        <f>VLOOKUP("k10+6",$I$2:$J$11,2,FALSE)+IFERROR(VLOOKUP(Karakterlap!$V$7,$A$24:$G$33,7,FALSE),0)</f>
        <v>12</v>
      </c>
      <c r="BG100" s="40">
        <f>VLOOKUP("3k6",$I$2:$J$11,2,FALSE)+IFERROR(VLOOKUP(Karakterlap!$V$7,$A$24:$H$33,8,FALSE),0)</f>
        <v>10</v>
      </c>
      <c r="BH100" s="40">
        <f>VLOOKUP("2k6+6",$I$2:$J$11,2,FALSE)+IFERROR(VLOOKUP(Karakterlap!$V$7,$A$24:$I$33,9,FALSE),0)</f>
        <v>13</v>
      </c>
      <c r="BI100" s="40">
        <f>VLOOKUP("k6+12",$I$2:$J$11,2,FALSE)</f>
        <v>16</v>
      </c>
      <c r="BJ100" s="40">
        <f t="shared" ref="BJ100:BK101" si="10">VLOOKUP("k10+8",$I$2:$J$11,2,FALSE)</f>
        <v>14</v>
      </c>
      <c r="BK100" s="40">
        <f t="shared" si="10"/>
        <v>14</v>
      </c>
      <c r="BL100" s="40">
        <f>IF((SUM(Karakterlap!$F$3:$F$12)-SUM(BB100:BK100))&lt;0,0,SUM(Karakterlap!$F$3:$F$12)-SUM(BB100:BK100))</f>
        <v>0</v>
      </c>
      <c r="BM100" t="e">
        <f>IF(Karakterlap!$F$3&gt;18,IF((Karakterlap!$F$3-IF(BB100&gt;18,BB100,18))&gt;0,Karakterlap!$F$3-IF(BB100&gt;18,BB100,18),0),0)+IF(Karakterlap!$F$4&gt;18,IF((Karakterlap!$F$4-IF(BC100&gt;18,BC100,18))&gt;0,Karakterlap!$F$4-IF(BC100&gt;18,BC100,18),0),0)+IF(Karakterlap!$F$5&gt;18,IF((Karakterlap!$F$5-IF(BD100&gt;18,BD100,18))&gt;0,Karakterlap!$F$5-IF(BD100&gt;18,BD100,18),0),0)+IF(Karakterlap!$F$6&gt;18,IF((Karakterlap!$F$6-IF(BE100&gt;18,BE100,18))&gt;0,Karakterlap!$F$6-IF(BE100&gt;18,BE100,18),0),0)+IF(Karakterlap!$F$7&gt;18,IF((Karakterlap!$F$7-IF(BF100&gt;18,BF100,18))&gt;0,Karakterlap!$F$7-IF(BF100&gt;18,BF100,18),0),0)+IF(Karakterlap!$F$8&gt;18,IF((Karakterlap!$F$8-IF(BG100&gt;18,BG100,18))&gt;0,Karakterlap!$F$8-IF(BG100&gt;18,BG100,18),0),0)+IF(Karakterlap!$F$9&gt;18,IF((Karakterlap!$F$9-IF(BH100&gt;18,BH100,18))&gt;0,Karakterlap!$F$9-IF(BH100&gt;18,BH100,18),0),0)+IF(Karakterlap!$F$10&gt;18,IF((Karakterlap!$F$10-IF(BI100&gt;18,BI100,18))&gt;0,Karakterlap!$F$10-IF(BI100&gt;18,BI100,18),0),0)+IF(Karakterlap!$F$11&gt;18,IF((Karakterlap!$F$11-IF(BJ100&gt;18,BJ100,18))&gt;0,Karakterlap!$F$11-IF(BJ100&gt;18,BJ100,18),0),0)+IF(Karakterlap!$F$12&gt;18,IF((Karakterlap!$F$12-IF(BK100&gt;18,BK100,18))&gt;0,Karakterlap!$F$12-IF(BK100&gt;18,BK100,18),0),0)</f>
        <v>#VALUE!</v>
      </c>
    </row>
    <row r="101" spans="12:65" x14ac:dyDescent="0.25">
      <c r="L101" t="s">
        <v>231</v>
      </c>
      <c r="M101">
        <v>0</v>
      </c>
      <c r="N101">
        <v>201</v>
      </c>
      <c r="O101">
        <v>401</v>
      </c>
      <c r="P101">
        <v>801</v>
      </c>
      <c r="Q101">
        <v>1601</v>
      </c>
      <c r="R101">
        <v>4001</v>
      </c>
      <c r="S101">
        <v>8001</v>
      </c>
      <c r="T101">
        <v>16001</v>
      </c>
      <c r="U101">
        <v>32001</v>
      </c>
      <c r="V101">
        <v>59001</v>
      </c>
      <c r="W101">
        <v>90501</v>
      </c>
      <c r="X101">
        <v>140001</v>
      </c>
      <c r="Y101">
        <f>IFERROR(IF(VLOOKUP(L101,Karakterlap!$P$3:$Z$4,10,FALSE)&gt;13,190001+((VLOOKUP(L101,Karakterlap!$P$3:$Z$4,10,FALSE)-13)*55000),190001),190001)</f>
        <v>190001</v>
      </c>
      <c r="Z101">
        <v>5</v>
      </c>
      <c r="AA101">
        <v>15</v>
      </c>
      <c r="AB101">
        <v>75</v>
      </c>
      <c r="AC101">
        <v>0</v>
      </c>
      <c r="AD101">
        <f>IFERROR(VLOOKUP(L101,Karakterlap!$P$3:$Z$4,10,FALSE)*8,8)</f>
        <v>8</v>
      </c>
      <c r="AE101">
        <f>IFERROR(IF(Karakterlap!$P$5="Váltott kaszt",IF(Karakterlap!$P$3=Adattábla!$L101,Karakterlap!$Y$3*2,IF(Karakterlap!$P$4=Adattábla!$L101,(Karakterlap!$Y$4-Adattábla!$I$20)*2,2)),VLOOKUP(Adattábla!$L101,Karakterlap!$P$3:$Z$4,10,FALSE)*2),2)</f>
        <v>2</v>
      </c>
      <c r="AF101">
        <f>IFERROR(IF(Karakterlap!$P$5="Váltott kaszt",IF(Karakterlap!$P$3=Adattábla!$L101,Karakterlap!$Y$3*4,IF(Karakterlap!$P$4=Adattábla!$L101,(Karakterlap!$Y$4-Adattábla!$I$20)*4,4)),VLOOKUP(Adattábla!$L101,Karakterlap!$P$3:$Z$4,10,FALSE)*4),4)</f>
        <v>4</v>
      </c>
      <c r="AG101">
        <v>5</v>
      </c>
      <c r="AH101">
        <f>IF(Karakterlap!$P$5="Iker kaszt",IF(Karakterlap!$P$3=L101,IFERROR((Karakterlap!$P$6*8)+(VLOOKUP(L101,Karakterlap!$P$3:$Z$4,10,FALSE)-Karakterlap!$P$6),8),IF(Karakterlap!$P$4=L101,VLOOKUP(L101,Karakterlap!$P$3:$Z$4,10,FALSE),8)),IF(Karakterlap!$P$5="Váltott kaszt",IF(L101=Karakterlap!$P$3,(Karakterlap!$Y$3+3)*8,VLOOKUP(L101,Karakterlap!$P$3:$Z$4,10,FALSE)*8),IFERROR(VLOOKUP(L101,Karakterlap!$P$3:$Z$4,10,FALSE)*8,8)))</f>
        <v>8</v>
      </c>
      <c r="AI101" s="10">
        <v>0</v>
      </c>
      <c r="AJ101" s="10">
        <v>4</v>
      </c>
      <c r="AK101" s="10">
        <v>8</v>
      </c>
      <c r="AL101">
        <f>IFERROR(VLOOKUP(L101,Karakterlap!$P$3:$Z$4,10,FALSE)*($E$18+5),$E$18+5)</f>
        <v>11</v>
      </c>
      <c r="AM101">
        <f>IFERROR(IF(VLOOKUP(L101,Karakterlap!$P$3:$Z$4,10,FALSE)&gt;1,9+((VLOOKUP(L101,Karakterlap!$P$3:$Z$4,10,FALSE)-1)*(($E$18/2)+6)),9),9)</f>
        <v>9</v>
      </c>
      <c r="AN101" t="s">
        <v>109</v>
      </c>
      <c r="AO101" t="str">
        <f>IFERROR((IF(Karakterlap!$F$9&gt;10,Karakterlap!$F$9-10,0))+7+((VLOOKUP(L101,Karakterlap!$P$3:$Z$4,10,FALSE)-1)*6),"más kaszt")</f>
        <v>más kaszt</v>
      </c>
      <c r="BA101">
        <f>IFERROR(IF(Karakterlap!$P$6&gt;13,190001+((Karakterlap!$P$6-13)*55000),190001),190001)</f>
        <v>190001</v>
      </c>
      <c r="BB101" s="40">
        <f>VLOOKUP("2k6+6",$I$2:$J$11,2,FALSE)+IFERROR(VLOOKUP(Karakterlap!$V$7,$A$24:$C$33,3,FALSE),0)</f>
        <v>13</v>
      </c>
      <c r="BC101" s="40">
        <f>VLOOKUP("k6+12",$I$2:$J$11,2,FALSE)+IFERROR(VLOOKUP(Karakterlap!$V$7,$A$24:$I$33,9,FALSE),0)</f>
        <v>16</v>
      </c>
      <c r="BD101" s="40">
        <f>VLOOKUP("2k6+6",$I$2:$J$11,2,FALSE)+IFERROR(VLOOKUP(Karakterlap!$V$7,$A$24:$D$33,4,FALSE),0)</f>
        <v>13</v>
      </c>
      <c r="BE101" s="40">
        <f>VLOOKUP("2k6+6",$I$2:$J$11,2,FALSE)+IFERROR(VLOOKUP(Karakterlap!$V$7,$A$24:$D$33,4,FALSE),0)</f>
        <v>13</v>
      </c>
      <c r="BF101" s="40">
        <f>VLOOKUP("3k6(2x)",$I$2:$J$11,2,FALSE)+IFERROR(VLOOKUP(Karakterlap!$V$7,$A$24:$E$33,5,FALSE),0)</f>
        <v>11</v>
      </c>
      <c r="BG101" s="40">
        <f>VLOOKUP("3k6(2x)",$I$2:$J$11,2,FALSE)+IFERROR(VLOOKUP(Karakterlap!$V$7,$A$24:$E$33,5,FALSE),0)</f>
        <v>11</v>
      </c>
      <c r="BH101" s="40">
        <f>VLOOKUP("2k6+6",$I$2:$J$11,2,FALSE)+IFERROR(VLOOKUP(Karakterlap!$V$7,$A$24:$I$33,9,FALSE),0)</f>
        <v>13</v>
      </c>
      <c r="BI101" s="40">
        <f>VLOOKUP("k6+12",$I$2:$J$11,2,FALSE)</f>
        <v>16</v>
      </c>
      <c r="BJ101" s="40">
        <f>VLOOKUP("k6+12",$I$2:$J$11,2,FALSE)</f>
        <v>16</v>
      </c>
      <c r="BK101" s="40">
        <f t="shared" si="10"/>
        <v>14</v>
      </c>
      <c r="BL101" s="40">
        <f>IF((SUM(Karakterlap!$F$3:$F$12)-SUM(BB101:BK101))&lt;0,0,SUM(Karakterlap!$F$3:$F$12)-SUM(BB101:BK101))</f>
        <v>0</v>
      </c>
      <c r="BM101" t="e">
        <f>IF(Karakterlap!$F$3&gt;18,IF((Karakterlap!$F$3-IF(BB101&gt;18,BB101,18))&gt;0,Karakterlap!$F$3-IF(BB101&gt;18,BB101,18),0),0)+IF(Karakterlap!$F$4&gt;18,IF((Karakterlap!$F$4-IF(BC101&gt;18,BC101,18))&gt;0,Karakterlap!$F$4-IF(BC101&gt;18,BC101,18),0),0)+IF(Karakterlap!$F$5&gt;18,IF((Karakterlap!$F$5-IF(BD101&gt;18,BD101,18))&gt;0,Karakterlap!$F$5-IF(BD101&gt;18,BD101,18),0),0)+IF(Karakterlap!$F$6&gt;18,IF((Karakterlap!$F$6-IF(BE101&gt;18,BE101,18))&gt;0,Karakterlap!$F$6-IF(BE101&gt;18,BE101,18),0),0)+IF(Karakterlap!$F$7&gt;18,IF((Karakterlap!$F$7-IF(BF101&gt;18,BF101,18))&gt;0,Karakterlap!$F$7-IF(BF101&gt;18,BF101,18),0),0)+IF(Karakterlap!$F$8&gt;18,IF((Karakterlap!$F$8-IF(BG101&gt;18,BG101,18))&gt;0,Karakterlap!$F$8-IF(BG101&gt;18,BG101,18),0),0)+IF(Karakterlap!$F$9&gt;18,IF((Karakterlap!$F$9-IF(BH101&gt;18,BH101,18))&gt;0,Karakterlap!$F$9-IF(BH101&gt;18,BH101,18),0),0)+IF(Karakterlap!$F$10&gt;18,IF((Karakterlap!$F$10-IF(BI101&gt;18,BI101,18))&gt;0,Karakterlap!$F$10-IF(BI101&gt;18,BI101,18),0),0)+IF(Karakterlap!$F$11&gt;18,IF((Karakterlap!$F$11-IF(BJ101&gt;18,BJ101,18))&gt;0,Karakterlap!$F$11-IF(BJ101&gt;18,BJ101,18),0),0)+IF(Karakterlap!$F$12&gt;18,IF((Karakterlap!$F$12-IF(BK101&gt;18,BK101,18))&gt;0,Karakterlap!$F$12-IF(BK101&gt;18,BK101,18),0),0)</f>
        <v>#VALUE!</v>
      </c>
    </row>
  </sheetData>
  <sortState ref="L40:BA49">
    <sortCondition ref="L40:L49"/>
  </sortState>
  <mergeCells count="12">
    <mergeCell ref="A20:H20"/>
    <mergeCell ref="A18:B18"/>
    <mergeCell ref="L1:O1"/>
    <mergeCell ref="A17:B17"/>
    <mergeCell ref="A1:B1"/>
    <mergeCell ref="D1:E1"/>
    <mergeCell ref="A15:B15"/>
    <mergeCell ref="A16:B16"/>
    <mergeCell ref="I1:J1"/>
    <mergeCell ref="D5:E5"/>
    <mergeCell ref="E17:F17"/>
    <mergeCell ref="I16:J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Karakterlap</vt:lpstr>
      <vt:lpstr>Adattábla</vt:lpstr>
      <vt:lpstr>eldontendo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Anyu</dc:creator>
  <cp:lastModifiedBy>Simon János</cp:lastModifiedBy>
  <cp:lastPrinted>2011-12-30T20:06:18Z</cp:lastPrinted>
  <dcterms:created xsi:type="dcterms:W3CDTF">2011-12-05T08:48:46Z</dcterms:created>
  <dcterms:modified xsi:type="dcterms:W3CDTF">2015-03-23T12:45:04Z</dcterms:modified>
</cp:coreProperties>
</file>